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900" windowHeight="13305" activeTab="1"/>
  </bookViews>
  <sheets>
    <sheet name="Sheet1" sheetId="1" r:id="rId1"/>
    <sheet name="E+C" sheetId="2" r:id="rId2"/>
    <sheet name="Jam_Rd" sheetId="3" r:id="rId3"/>
    <sheet name="WW_Q1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<sst xmlns="http://schemas.openxmlformats.org/spreadsheetml/2006/main" count="273" uniqueCount="112">
  <si>
    <t>Proportion of female cyclists on busy versus quiet roads</t>
  </si>
  <si>
    <t>Elephant</t>
  </si>
  <si>
    <t>Main roads</t>
  </si>
  <si>
    <t>Bypass</t>
  </si>
  <si>
    <t>Bermondsey</t>
  </si>
  <si>
    <t>A200 (Jamaica Rd)</t>
  </si>
  <si>
    <t>%female</t>
  </si>
  <si>
    <t>Peak time</t>
  </si>
  <si>
    <t>2017/18</t>
  </si>
  <si>
    <t>Newington Causeway</t>
  </si>
  <si>
    <t>London Rd</t>
  </si>
  <si>
    <t>Gender split</t>
  </si>
  <si>
    <t>April 5th</t>
  </si>
  <si>
    <t>to</t>
  </si>
  <si>
    <t>Location</t>
  </si>
  <si>
    <t>Counter</t>
  </si>
  <si>
    <t>M</t>
  </si>
  <si>
    <t>F</t>
  </si>
  <si>
    <t>Total</t>
  </si>
  <si>
    <t>% female</t>
  </si>
  <si>
    <t>prob</t>
  </si>
  <si>
    <t>Newington Causeway, southbound</t>
  </si>
  <si>
    <t>Mary</t>
  </si>
  <si>
    <t>Bruce</t>
  </si>
  <si>
    <t>Sum</t>
  </si>
  <si>
    <t>Bypass at Newington Causeway, bidirectional</t>
  </si>
  <si>
    <t>London Rd, southbound</t>
  </si>
  <si>
    <t>Bypass at London Rd, bidirectional</t>
  </si>
  <si>
    <t>Both main road sites</t>
  </si>
  <si>
    <t>Both bypass sites</t>
  </si>
  <si>
    <t>"</t>
  </si>
  <si>
    <t>Grand total</t>
  </si>
  <si>
    <t>Traffic counts</t>
  </si>
  <si>
    <t>Dockhead</t>
  </si>
  <si>
    <t>Total westbound or eastbound (Jul 2nd only) between Shad Thames and Mill St</t>
  </si>
  <si>
    <t>Weds</t>
  </si>
  <si>
    <t>Weather</t>
  </si>
  <si>
    <t>Sunny</t>
  </si>
  <si>
    <t>Daylight</t>
  </si>
  <si>
    <t>Cycles</t>
  </si>
  <si>
    <t>Flow, per hr</t>
  </si>
  <si>
    <t>Start time</t>
  </si>
  <si>
    <t>End time</t>
  </si>
  <si>
    <t>Av time</t>
  </si>
  <si>
    <t>Duration</t>
  </si>
  <si>
    <t>West Total</t>
  </si>
  <si>
    <t>Wbnd</t>
  </si>
  <si>
    <t>%Wbnd</t>
  </si>
  <si>
    <t>Tues</t>
  </si>
  <si>
    <t>During long hot dry spell of weather</t>
  </si>
  <si>
    <t>Total female</t>
  </si>
  <si>
    <t>East total</t>
  </si>
  <si>
    <t>Ebnd</t>
  </si>
  <si>
    <t>East</t>
  </si>
  <si>
    <t>West</t>
  </si>
  <si>
    <t>Both</t>
  </si>
  <si>
    <t>All counts</t>
  </si>
  <si>
    <t>Best 30 min</t>
  </si>
  <si>
    <t>2x2 table</t>
  </si>
  <si>
    <t>Corrected for continuity</t>
  </si>
  <si>
    <t>Enter one value and total</t>
  </si>
  <si>
    <t>M+F</t>
  </si>
  <si>
    <t>Eastbnd</t>
  </si>
  <si>
    <t>Westbnd</t>
  </si>
  <si>
    <t>Chi2</t>
  </si>
  <si>
    <t>Dunton Rd/Willow Walk/Lynton Rd junction</t>
  </si>
  <si>
    <t>pm peak</t>
  </si>
  <si>
    <t>Dry, Sunny ints, very warm</t>
  </si>
  <si>
    <t>All motor vehicles</t>
  </si>
  <si>
    <t>Totals for each road arm</t>
  </si>
  <si>
    <t>DR_Nbnd</t>
  </si>
  <si>
    <t>DR_Sbnd</t>
  </si>
  <si>
    <t>Eastbound</t>
  </si>
  <si>
    <t>Southbound</t>
  </si>
  <si>
    <t>Northbound</t>
  </si>
  <si>
    <t>Time start</t>
  </si>
  <si>
    <t>Time end</t>
  </si>
  <si>
    <t>LR Lft</t>
  </si>
  <si>
    <t>LR Str</t>
  </si>
  <si>
    <t>LR Rt</t>
  </si>
  <si>
    <t>WW Lft</t>
  </si>
  <si>
    <t>WW Str</t>
  </si>
  <si>
    <t>WW Rt</t>
  </si>
  <si>
    <t>Lft</t>
  </si>
  <si>
    <t>Str</t>
  </si>
  <si>
    <t>Rt</t>
  </si>
  <si>
    <t>LR</t>
  </si>
  <si>
    <t>WW</t>
  </si>
  <si>
    <t>DR S arm</t>
  </si>
  <si>
    <t>DR N arm</t>
  </si>
  <si>
    <t>Av hourly flows</t>
  </si>
  <si>
    <t>Sum 18:00-18:30</t>
  </si>
  <si>
    <t>Female/male data</t>
  </si>
  <si>
    <t>Cyclists</t>
  </si>
  <si>
    <t>Female</t>
  </si>
  <si>
    <t>All</t>
  </si>
  <si>
    <t xml:space="preserve">All </t>
  </si>
  <si>
    <t>Male</t>
  </si>
  <si>
    <t>female</t>
  </si>
  <si>
    <t>cf Dockhead</t>
  </si>
  <si>
    <t>%Female</t>
  </si>
  <si>
    <t>DR all</t>
  </si>
  <si>
    <t>WW/LR all</t>
  </si>
  <si>
    <t>n yes</t>
  </si>
  <si>
    <t>fem</t>
  </si>
  <si>
    <t>Dock</t>
  </si>
  <si>
    <t>N</t>
  </si>
  <si>
    <t>Quietway 1</t>
  </si>
  <si>
    <t>Av</t>
  </si>
  <si>
    <t>Busy roads</t>
  </si>
  <si>
    <t>Quiet roads</t>
  </si>
  <si>
    <t>Inc on quiet routes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</si>
</sst>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"/>
    <numFmt numFmtId="166" formatCode="0.0000"/>
    <numFmt numFmtId="167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4"/>
      <color indexed="63"/>
      <name val="Calibri"/>
      <family val="0"/>
    </font>
    <font>
      <b/>
      <sz val="10"/>
      <name val="Arial"/>
      <family val="2"/>
    </font>
    <font>
      <sz val="9"/>
      <name val="Arial"/>
      <family val="2"/>
    </font>
    <font>
      <sz val="13.2"/>
      <color indexed="8"/>
      <name val="Calibri"/>
      <family val="0"/>
    </font>
    <font>
      <sz val="14"/>
      <color indexed="8"/>
      <name val="Calibri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/>
    </xf>
    <xf numFmtId="17" fontId="0" fillId="0" borderId="0" xfId="0" applyNumberFormat="1" applyAlignment="1">
      <alignment/>
    </xf>
    <xf numFmtId="21" fontId="0" fillId="0" borderId="0" xfId="0" applyNumberFormat="1" applyAlignment="1">
      <alignment/>
    </xf>
    <xf numFmtId="21" fontId="0" fillId="0" borderId="0" xfId="59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/>
    </xf>
    <xf numFmtId="164" fontId="0" fillId="0" borderId="0" xfId="59" applyNumberFormat="1" applyAlignment="1">
      <alignment/>
    </xf>
    <xf numFmtId="0" fontId="0" fillId="0" borderId="0" xfId="0" applyNumberFormat="1" applyAlignment="1">
      <alignment/>
    </xf>
    <xf numFmtId="46" fontId="0" fillId="0" borderId="0" xfId="0" applyNumberFormat="1" applyAlignment="1">
      <alignment/>
    </xf>
    <xf numFmtId="9" fontId="0" fillId="0" borderId="0" xfId="59" applyAlignment="1">
      <alignment/>
    </xf>
    <xf numFmtId="0" fontId="0" fillId="0" borderId="10" xfId="0" applyNumberFormat="1" applyBorder="1" applyAlignment="1">
      <alignment/>
    </xf>
    <xf numFmtId="0" fontId="0" fillId="0" borderId="0" xfId="59" applyNumberFormat="1" applyFont="1" applyFill="1" applyBorder="1" applyAlignment="1" applyProtection="1">
      <alignment/>
      <protection/>
    </xf>
    <xf numFmtId="0" fontId="0" fillId="0" borderId="0" xfId="59" applyNumberFormat="1" applyAlignment="1">
      <alignment/>
    </xf>
    <xf numFmtId="164" fontId="0" fillId="0" borderId="10" xfId="59" applyNumberFormat="1" applyBorder="1" applyAlignment="1">
      <alignment/>
    </xf>
    <xf numFmtId="1" fontId="0" fillId="0" borderId="0" xfId="59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20" fillId="0" borderId="0" xfId="0" applyFont="1" applyAlignment="1">
      <alignment/>
    </xf>
    <xf numFmtId="0" fontId="0" fillId="33" borderId="11" xfId="0" applyFill="1" applyBorder="1" applyAlignment="1">
      <alignment/>
    </xf>
    <xf numFmtId="0" fontId="20" fillId="0" borderId="10" xfId="0" applyFont="1" applyBorder="1" applyAlignment="1">
      <alignment/>
    </xf>
    <xf numFmtId="165" fontId="20" fillId="0" borderId="0" xfId="0" applyNumberFormat="1" applyFont="1" applyAlignment="1">
      <alignment/>
    </xf>
    <xf numFmtId="166" fontId="20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2" xfId="0" applyNumberFormat="1" applyBorder="1" applyAlignment="1">
      <alignment/>
    </xf>
    <xf numFmtId="167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0" xfId="0" applyNumberFormat="1" applyBorder="1" applyAlignment="1">
      <alignment/>
    </xf>
    <xf numFmtId="14" fontId="21" fillId="0" borderId="0" xfId="0" applyNumberFormat="1" applyFont="1" applyAlignment="1">
      <alignment/>
    </xf>
    <xf numFmtId="17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9" applyNumberFormat="1" applyBorder="1" applyAlignment="1">
      <alignment/>
    </xf>
    <xf numFmtId="0" fontId="0" fillId="0" borderId="10" xfId="0" applyFont="1" applyBorder="1" applyAlignment="1">
      <alignment/>
    </xf>
    <xf numFmtId="167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59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Elephant and Castle</a:t>
            </a:r>
          </a:p>
        </c:rich>
      </c:tx>
      <c:layout>
        <c:manualLayout>
          <c:xMode val="factor"/>
          <c:yMode val="factor"/>
          <c:x val="-0.003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025"/>
          <c:y val="0.0865"/>
          <c:w val="0.7717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Sheet1!$B$3:$B$4</c:f>
              <c:strCache/>
            </c:strRef>
          </c:cat>
          <c:val>
            <c:numRef>
              <c:f>Sheet1!$C$3:$C$4</c:f>
              <c:numCache/>
            </c:numRef>
          </c:val>
        </c:ser>
        <c:overlap val="-27"/>
        <c:gapWidth val="219"/>
        <c:axId val="53160837"/>
        <c:axId val="8685486"/>
      </c:barChart>
      <c:catAx>
        <c:axId val="531608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685486"/>
        <c:crosses val="autoZero"/>
        <c:auto val="1"/>
        <c:lblOffset val="100"/>
        <c:tickLblSkip val="1"/>
        <c:noMultiLvlLbl val="0"/>
      </c:catAx>
      <c:valAx>
        <c:axId val="8685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% Female
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1608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Bermondsey radial routes</a:t>
            </a:r>
          </a:p>
        </c:rich>
      </c:tx>
      <c:layout>
        <c:manualLayout>
          <c:xMode val="factor"/>
          <c:yMode val="factor"/>
          <c:x val="-0.002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865"/>
          <c:w val="0.967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Sheet1!$B$9:$B$10</c:f>
              <c:strCache/>
            </c:strRef>
          </c:cat>
          <c:val>
            <c:numRef>
              <c:f>Sheet1!$C$9:$C$10</c:f>
              <c:numCache/>
            </c:numRef>
          </c:val>
        </c:ser>
        <c:overlap val="-27"/>
        <c:gapWidth val="219"/>
        <c:axId val="11060511"/>
        <c:axId val="32435736"/>
      </c:barChart>
      <c:catAx>
        <c:axId val="110605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435736"/>
        <c:crosses val="autoZero"/>
        <c:auto val="1"/>
        <c:lblOffset val="100"/>
        <c:tickLblSkip val="1"/>
        <c:noMultiLvlLbl val="0"/>
      </c:catAx>
      <c:valAx>
        <c:axId val="324357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0605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Proportion of female cyclists on main road routes and on the bypass quiet route.  4/April/17, pm peak.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228"/>
          <c:w val="0.99125"/>
          <c:h val="0.7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'[1]Sheet1'!$A$22:$A$25</c:f>
              <c:strCache>
                <c:ptCount val="4"/>
                <c:pt idx="0">
                  <c:v>Newington Causeway, southbound</c:v>
                </c:pt>
                <c:pt idx="1">
                  <c:v>Bypass at Newington Causeway, bidirectional</c:v>
                </c:pt>
                <c:pt idx="2">
                  <c:v>London Rd, southbound</c:v>
                </c:pt>
                <c:pt idx="3">
                  <c:v>Bypass at London Rd, bidirectional</c:v>
                </c:pt>
              </c:strCache>
            </c:strRef>
          </c:cat>
          <c:val>
            <c:numRef>
              <c:f>'[1]Sheet1'!$F$22:$F$25</c:f>
              <c:numCache>
                <c:ptCount val="4"/>
                <c:pt idx="0">
                  <c:v>0.22518159806295399</c:v>
                </c:pt>
                <c:pt idx="1">
                  <c:v>0.29931972789115646</c:v>
                </c:pt>
                <c:pt idx="2">
                  <c:v>0.15488215488215487</c:v>
                </c:pt>
                <c:pt idx="3">
                  <c:v>0.25477707006369427</c:v>
                </c:pt>
              </c:numCache>
            </c:numRef>
          </c:val>
        </c:ser>
        <c:gapWidth val="182"/>
        <c:axId val="23486169"/>
        <c:axId val="10048930"/>
      </c:barChart>
      <c:catAx>
        <c:axId val="234861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0048930"/>
        <c:crosses val="autoZero"/>
        <c:auto val="1"/>
        <c:lblOffset val="100"/>
        <c:tickLblSkip val="1"/>
        <c:noMultiLvlLbl val="0"/>
      </c:catAx>
      <c:valAx>
        <c:axId val="10048930"/>
        <c:scaling>
          <c:orientation val="minMax"/>
          <c:max val="0.30000000000000004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234861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10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4067175" y="0"/>
        <a:ext cx="3048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16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7115175" y="0"/>
        <a:ext cx="365760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57150</xdr:rowOff>
    </xdr:from>
    <xdr:to>
      <xdr:col>5</xdr:col>
      <xdr:colOff>542925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0" y="5010150"/>
        <a:ext cx="51054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ycling\E+C\E+C_Audit\Male_Fema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2">
          <cell r="A22" t="str">
            <v>Newington Causeway, southbound</v>
          </cell>
          <cell r="F22">
            <v>0.22518159806295399</v>
          </cell>
        </row>
        <row r="23">
          <cell r="A23" t="str">
            <v>Bypass at Newington Causeway, bidirectional</v>
          </cell>
          <cell r="F23">
            <v>0.29931972789115646</v>
          </cell>
        </row>
        <row r="24">
          <cell r="A24" t="str">
            <v>London Rd, southbound</v>
          </cell>
          <cell r="F24">
            <v>0.15488215488215487</v>
          </cell>
        </row>
        <row r="25">
          <cell r="A25" t="str">
            <v>Bypass at London Rd, bidirectional</v>
          </cell>
          <cell r="F25">
            <v>0.25477707006369427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2" max="2" width="20.8515625" style="0" customWidth="1"/>
  </cols>
  <sheetData>
    <row r="1" ht="15">
      <c r="A1" t="s">
        <v>0</v>
      </c>
    </row>
    <row r="2" spans="1:4" ht="15">
      <c r="A2" t="s">
        <v>7</v>
      </c>
      <c r="B2" t="s">
        <v>8</v>
      </c>
      <c r="C2" t="s">
        <v>6</v>
      </c>
      <c r="D2" t="s">
        <v>106</v>
      </c>
    </row>
    <row r="3" spans="1:4" ht="15">
      <c r="A3" t="s">
        <v>1</v>
      </c>
      <c r="B3" t="s">
        <v>2</v>
      </c>
      <c r="C3">
        <v>19.6</v>
      </c>
      <c r="D3">
        <f>'E+C'!E16</f>
        <v>710</v>
      </c>
    </row>
    <row r="4" spans="2:4" ht="15">
      <c r="B4" t="s">
        <v>3</v>
      </c>
      <c r="C4">
        <v>27.6</v>
      </c>
      <c r="D4">
        <f>'E+C'!E17</f>
        <v>304</v>
      </c>
    </row>
    <row r="6" spans="1:4" ht="15">
      <c r="A6" t="s">
        <v>1</v>
      </c>
      <c r="B6" t="s">
        <v>9</v>
      </c>
      <c r="C6">
        <v>22.5</v>
      </c>
      <c r="D6">
        <f>'E+C'!E22</f>
        <v>413</v>
      </c>
    </row>
    <row r="7" spans="2:4" ht="15">
      <c r="B7" t="s">
        <v>10</v>
      </c>
      <c r="C7">
        <v>15.5</v>
      </c>
      <c r="D7">
        <f>'E+C'!E24</f>
        <v>297</v>
      </c>
    </row>
    <row r="9" spans="1:4" ht="15">
      <c r="A9" t="s">
        <v>4</v>
      </c>
      <c r="B9" t="s">
        <v>5</v>
      </c>
      <c r="C9">
        <v>18.1</v>
      </c>
      <c r="D9">
        <f>Jam_Rd!L43</f>
        <v>443</v>
      </c>
    </row>
    <row r="10" spans="2:4" ht="15">
      <c r="B10" t="s">
        <v>107</v>
      </c>
      <c r="C10">
        <v>25.9</v>
      </c>
      <c r="D10">
        <f>WW_Q1!AK35</f>
        <v>467</v>
      </c>
    </row>
    <row r="12" spans="1:4" ht="15">
      <c r="A12" t="s">
        <v>108</v>
      </c>
      <c r="B12" t="s">
        <v>109</v>
      </c>
      <c r="C12" s="24">
        <f>AVERAGE(C3,C9)</f>
        <v>18.85</v>
      </c>
      <c r="D12">
        <f>D3+D9</f>
        <v>1153</v>
      </c>
    </row>
    <row r="13" spans="2:4" ht="15">
      <c r="B13" t="s">
        <v>110</v>
      </c>
      <c r="C13" s="24">
        <f>AVERAGE(C4,C10)</f>
        <v>26.75</v>
      </c>
      <c r="D13">
        <f>D4+D10</f>
        <v>771</v>
      </c>
    </row>
    <row r="14" spans="2:4" ht="15">
      <c r="B14" t="s">
        <v>55</v>
      </c>
      <c r="C14">
        <f>AVERAGE(C12:C13)</f>
        <v>22.8</v>
      </c>
      <c r="D14">
        <f>SUM(D12:D13)</f>
        <v>1924</v>
      </c>
    </row>
    <row r="15" spans="2:3" ht="15">
      <c r="B15" t="s">
        <v>111</v>
      </c>
      <c r="C15" s="46">
        <f>C13/C12-1</f>
        <v>0.4190981432360741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1.8515625" style="0" customWidth="1"/>
  </cols>
  <sheetData>
    <row r="1" spans="1:6" ht="15">
      <c r="A1" t="s">
        <v>11</v>
      </c>
      <c r="B1" t="s">
        <v>1</v>
      </c>
      <c r="C1" t="s">
        <v>12</v>
      </c>
      <c r="D1" s="1">
        <v>0.7284722222222223</v>
      </c>
      <c r="E1" t="s">
        <v>13</v>
      </c>
      <c r="F1" s="1">
        <v>0.7777777777777778</v>
      </c>
    </row>
    <row r="3" spans="1:7" ht="15">
      <c r="A3" t="s">
        <v>14</v>
      </c>
      <c r="B3" t="s">
        <v>15</v>
      </c>
      <c r="C3" t="s">
        <v>16</v>
      </c>
      <c r="D3" t="s">
        <v>17</v>
      </c>
      <c r="E3" t="s">
        <v>18</v>
      </c>
      <c r="F3" t="s">
        <v>19</v>
      </c>
      <c r="G3" t="s">
        <v>20</v>
      </c>
    </row>
    <row r="4" spans="1:6" ht="15">
      <c r="A4" t="s">
        <v>21</v>
      </c>
      <c r="B4" t="s">
        <v>22</v>
      </c>
      <c r="C4">
        <v>159</v>
      </c>
      <c r="D4">
        <v>43</v>
      </c>
      <c r="E4">
        <f>C4+D4</f>
        <v>202</v>
      </c>
      <c r="F4" s="2">
        <f>D4/(D4+C4)</f>
        <v>0.21287128712871287</v>
      </c>
    </row>
    <row r="5" spans="2:6" ht="15">
      <c r="B5" t="s">
        <v>23</v>
      </c>
      <c r="C5">
        <v>161</v>
      </c>
      <c r="D5">
        <v>50</v>
      </c>
      <c r="E5">
        <f aca="true" t="shared" si="0" ref="E5:E15">C5+D5</f>
        <v>211</v>
      </c>
      <c r="F5" s="2">
        <f aca="true" t="shared" si="1" ref="F5:F18">D5/(D5+C5)</f>
        <v>0.23696682464454977</v>
      </c>
    </row>
    <row r="6" spans="2:6" ht="15">
      <c r="B6" t="s">
        <v>24</v>
      </c>
      <c r="C6">
        <f>C5+C4</f>
        <v>320</v>
      </c>
      <c r="D6">
        <f>D5+D4</f>
        <v>93</v>
      </c>
      <c r="E6">
        <f t="shared" si="0"/>
        <v>413</v>
      </c>
      <c r="F6" s="2">
        <f t="shared" si="1"/>
        <v>0.22518159806295399</v>
      </c>
    </row>
    <row r="7" spans="1:6" ht="15">
      <c r="A7" t="s">
        <v>25</v>
      </c>
      <c r="B7" t="s">
        <v>22</v>
      </c>
      <c r="C7">
        <v>65</v>
      </c>
      <c r="D7">
        <v>30</v>
      </c>
      <c r="E7">
        <f t="shared" si="0"/>
        <v>95</v>
      </c>
      <c r="F7" s="2">
        <f t="shared" si="1"/>
        <v>0.3157894736842105</v>
      </c>
    </row>
    <row r="8" spans="2:6" ht="15">
      <c r="B8" t="s">
        <v>23</v>
      </c>
      <c r="C8">
        <v>38</v>
      </c>
      <c r="D8">
        <v>14</v>
      </c>
      <c r="E8">
        <f t="shared" si="0"/>
        <v>52</v>
      </c>
      <c r="F8" s="2">
        <f t="shared" si="1"/>
        <v>0.2692307692307692</v>
      </c>
    </row>
    <row r="9" spans="2:6" ht="15">
      <c r="B9" t="s">
        <v>24</v>
      </c>
      <c r="C9">
        <f>C8+C7</f>
        <v>103</v>
      </c>
      <c r="D9">
        <f>D8+D7</f>
        <v>44</v>
      </c>
      <c r="E9">
        <f t="shared" si="0"/>
        <v>147</v>
      </c>
      <c r="F9" s="2">
        <f t="shared" si="1"/>
        <v>0.29931972789115646</v>
      </c>
    </row>
    <row r="10" spans="1:6" ht="15">
      <c r="A10" t="s">
        <v>26</v>
      </c>
      <c r="B10" t="s">
        <v>22</v>
      </c>
      <c r="C10">
        <v>141</v>
      </c>
      <c r="D10">
        <v>34</v>
      </c>
      <c r="E10">
        <f t="shared" si="0"/>
        <v>175</v>
      </c>
      <c r="F10" s="2">
        <f t="shared" si="1"/>
        <v>0.19428571428571428</v>
      </c>
    </row>
    <row r="11" spans="2:6" ht="15">
      <c r="B11" t="s">
        <v>23</v>
      </c>
      <c r="C11">
        <v>110</v>
      </c>
      <c r="D11">
        <v>12</v>
      </c>
      <c r="E11">
        <f t="shared" si="0"/>
        <v>122</v>
      </c>
      <c r="F11" s="2">
        <f t="shared" si="1"/>
        <v>0.09836065573770492</v>
      </c>
    </row>
    <row r="12" spans="2:6" ht="15">
      <c r="B12" t="s">
        <v>24</v>
      </c>
      <c r="C12">
        <f>C11+C10</f>
        <v>251</v>
      </c>
      <c r="D12">
        <f>D11+D10</f>
        <v>46</v>
      </c>
      <c r="E12">
        <f t="shared" si="0"/>
        <v>297</v>
      </c>
      <c r="F12" s="2">
        <f t="shared" si="1"/>
        <v>0.15488215488215487</v>
      </c>
    </row>
    <row r="13" spans="1:6" ht="15">
      <c r="A13" t="s">
        <v>27</v>
      </c>
      <c r="B13" t="s">
        <v>22</v>
      </c>
      <c r="C13">
        <v>103</v>
      </c>
      <c r="D13">
        <v>34</v>
      </c>
      <c r="E13">
        <f t="shared" si="0"/>
        <v>137</v>
      </c>
      <c r="F13" s="2">
        <f t="shared" si="1"/>
        <v>0.24817518248175183</v>
      </c>
    </row>
    <row r="14" spans="2:6" ht="15">
      <c r="B14" t="s">
        <v>23</v>
      </c>
      <c r="C14">
        <v>14</v>
      </c>
      <c r="D14">
        <v>6</v>
      </c>
      <c r="E14">
        <f t="shared" si="0"/>
        <v>20</v>
      </c>
      <c r="F14" s="2">
        <f t="shared" si="1"/>
        <v>0.3</v>
      </c>
    </row>
    <row r="15" spans="2:6" ht="15">
      <c r="B15" t="s">
        <v>24</v>
      </c>
      <c r="C15">
        <f>C14+C13</f>
        <v>117</v>
      </c>
      <c r="D15">
        <f>D14+D13</f>
        <v>40</v>
      </c>
      <c r="E15">
        <f t="shared" si="0"/>
        <v>157</v>
      </c>
      <c r="F15" s="2">
        <f t="shared" si="1"/>
        <v>0.25477707006369427</v>
      </c>
    </row>
    <row r="16" spans="1:7" ht="15">
      <c r="A16" t="s">
        <v>28</v>
      </c>
      <c r="B16" t="s">
        <v>24</v>
      </c>
      <c r="C16">
        <f>C12+C6</f>
        <v>571</v>
      </c>
      <c r="D16">
        <f>D12+D6</f>
        <v>139</v>
      </c>
      <c r="E16">
        <f>E12+E6</f>
        <v>710</v>
      </c>
      <c r="F16" s="2">
        <f t="shared" si="1"/>
        <v>0.19577464788732393</v>
      </c>
      <c r="G16">
        <v>0.006</v>
      </c>
    </row>
    <row r="17" spans="1:7" ht="15">
      <c r="A17" t="s">
        <v>29</v>
      </c>
      <c r="B17" t="s">
        <v>24</v>
      </c>
      <c r="C17">
        <f>C15+C9</f>
        <v>220</v>
      </c>
      <c r="D17">
        <f>D15+D9</f>
        <v>84</v>
      </c>
      <c r="E17">
        <f>E15+E9</f>
        <v>304</v>
      </c>
      <c r="F17" s="2">
        <f t="shared" si="1"/>
        <v>0.27631578947368424</v>
      </c>
      <c r="G17" s="3" t="s">
        <v>30</v>
      </c>
    </row>
    <row r="18" spans="1:6" ht="15">
      <c r="A18" t="s">
        <v>31</v>
      </c>
      <c r="C18">
        <f>C17+C16</f>
        <v>791</v>
      </c>
      <c r="D18">
        <f>D17+D16</f>
        <v>223</v>
      </c>
      <c r="E18">
        <f>E17+E16</f>
        <v>1014</v>
      </c>
      <c r="F18" s="2">
        <f t="shared" si="1"/>
        <v>0.21992110453648916</v>
      </c>
    </row>
    <row r="21" spans="1:6" ht="15">
      <c r="A21" t="str">
        <f aca="true" t="shared" si="2" ref="A21:F22">A3</f>
        <v>Location</v>
      </c>
      <c r="B21" t="str">
        <f t="shared" si="2"/>
        <v>Counter</v>
      </c>
      <c r="C21" t="str">
        <f t="shared" si="2"/>
        <v>M</v>
      </c>
      <c r="D21" t="str">
        <f t="shared" si="2"/>
        <v>F</v>
      </c>
      <c r="E21" t="str">
        <f t="shared" si="2"/>
        <v>Total</v>
      </c>
      <c r="F21" t="str">
        <f t="shared" si="2"/>
        <v>% female</v>
      </c>
    </row>
    <row r="22" spans="1:7" ht="15">
      <c r="A22" t="str">
        <f t="shared" si="2"/>
        <v>Newington Causeway, southbound</v>
      </c>
      <c r="B22" t="str">
        <f>B6</f>
        <v>Sum</v>
      </c>
      <c r="C22">
        <f>C6</f>
        <v>320</v>
      </c>
      <c r="D22">
        <f>D6</f>
        <v>93</v>
      </c>
      <c r="E22">
        <f>E6</f>
        <v>413</v>
      </c>
      <c r="F22" s="2">
        <f>F6</f>
        <v>0.22518159806295399</v>
      </c>
      <c r="G22">
        <v>0.092</v>
      </c>
    </row>
    <row r="23" spans="1:7" ht="15">
      <c r="A23" t="str">
        <f>A7</f>
        <v>Bypass at Newington Causeway, bidirectional</v>
      </c>
      <c r="B23" t="str">
        <f>B9</f>
        <v>Sum</v>
      </c>
      <c r="C23">
        <f>C9</f>
        <v>103</v>
      </c>
      <c r="D23">
        <f>D9</f>
        <v>44</v>
      </c>
      <c r="E23">
        <f>E9</f>
        <v>147</v>
      </c>
      <c r="F23" s="2">
        <f>F9</f>
        <v>0.29931972789115646</v>
      </c>
      <c r="G23" s="3" t="s">
        <v>30</v>
      </c>
    </row>
    <row r="24" spans="1:7" ht="15">
      <c r="A24" t="str">
        <f>A10</f>
        <v>London Rd, southbound</v>
      </c>
      <c r="B24" t="str">
        <f>B12</f>
        <v>Sum</v>
      </c>
      <c r="C24">
        <f>C12</f>
        <v>251</v>
      </c>
      <c r="D24">
        <f>D12</f>
        <v>46</v>
      </c>
      <c r="E24">
        <f>E12</f>
        <v>297</v>
      </c>
      <c r="F24" s="2">
        <f>F12</f>
        <v>0.15488215488215487</v>
      </c>
      <c r="G24">
        <v>0.014</v>
      </c>
    </row>
    <row r="25" spans="1:7" ht="15">
      <c r="A25" t="str">
        <f>A13</f>
        <v>Bypass at London Rd, bidirectional</v>
      </c>
      <c r="B25" t="str">
        <f>B15</f>
        <v>Sum</v>
      </c>
      <c r="C25">
        <f>C15</f>
        <v>117</v>
      </c>
      <c r="D25">
        <f>D15</f>
        <v>40</v>
      </c>
      <c r="E25">
        <f>E15</f>
        <v>157</v>
      </c>
      <c r="F25" s="2">
        <f>F15</f>
        <v>0.25477707006369427</v>
      </c>
      <c r="G25" s="3" t="s">
        <v>30</v>
      </c>
    </row>
    <row r="26" ht="15">
      <c r="E26">
        <f>SUM(E22:E25)</f>
        <v>1014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K43" sqref="K43"/>
    </sheetView>
  </sheetViews>
  <sheetFormatPr defaultColWidth="9.140625" defaultRowHeight="15"/>
  <sheetData>
    <row r="1" ht="15">
      <c r="A1" t="s">
        <v>32</v>
      </c>
    </row>
    <row r="2" ht="15">
      <c r="G2" s="1"/>
    </row>
    <row r="3" spans="1:2" ht="15">
      <c r="A3" t="s">
        <v>33</v>
      </c>
      <c r="B3" t="s">
        <v>34</v>
      </c>
    </row>
    <row r="4" spans="1:6" ht="15">
      <c r="A4" t="s">
        <v>35</v>
      </c>
      <c r="B4" s="4">
        <v>43264</v>
      </c>
      <c r="C4" s="5"/>
      <c r="D4" t="s">
        <v>36</v>
      </c>
      <c r="E4" t="s">
        <v>37</v>
      </c>
      <c r="F4" t="s">
        <v>38</v>
      </c>
    </row>
    <row r="5" spans="1:6" ht="15">
      <c r="A5" t="s">
        <v>39</v>
      </c>
      <c r="F5" t="s">
        <v>40</v>
      </c>
    </row>
    <row r="6" spans="1:6" ht="15">
      <c r="A6" t="s">
        <v>41</v>
      </c>
      <c r="B6" t="s">
        <v>42</v>
      </c>
      <c r="C6" t="s">
        <v>43</v>
      </c>
      <c r="D6" t="s">
        <v>44</v>
      </c>
      <c r="E6" t="s">
        <v>45</v>
      </c>
      <c r="F6" t="s">
        <v>46</v>
      </c>
    </row>
    <row r="7" spans="1:7" ht="15">
      <c r="A7" s="6">
        <v>0.34375</v>
      </c>
      <c r="B7" s="6">
        <v>0.34722222222222227</v>
      </c>
      <c r="C7" s="6">
        <f>AVERAGE(A7:B7)</f>
        <v>0.34548611111111116</v>
      </c>
      <c r="D7" s="7">
        <f>B7-A7</f>
        <v>0.0034722222222222654</v>
      </c>
      <c r="E7">
        <v>81</v>
      </c>
      <c r="F7" s="8">
        <f>E7/(D7*24)</f>
        <v>971.999999999988</v>
      </c>
      <c r="G7" s="9"/>
    </row>
    <row r="8" spans="1:7" ht="15">
      <c r="A8" s="6">
        <v>0.34722222222222227</v>
      </c>
      <c r="B8" s="6">
        <v>0.3506944444444444</v>
      </c>
      <c r="C8" s="6">
        <f>AVERAGE(A8:B8)</f>
        <v>0.34895833333333337</v>
      </c>
      <c r="D8" s="7">
        <f>B8-A8</f>
        <v>0.0034722222222221544</v>
      </c>
      <c r="E8">
        <v>86</v>
      </c>
      <c r="F8" s="10">
        <f>E8/(D8*24)</f>
        <v>1032.0000000000202</v>
      </c>
      <c r="G8" s="9"/>
    </row>
    <row r="9" spans="1:7" ht="15">
      <c r="A9" s="6">
        <v>0.3506944444444444</v>
      </c>
      <c r="B9" s="6">
        <v>0.3541666666666667</v>
      </c>
      <c r="C9" s="6">
        <f>AVERAGE(A9:B9)</f>
        <v>0.3524305555555556</v>
      </c>
      <c r="D9" s="7">
        <f>B9-A9</f>
        <v>0.0034722222222222654</v>
      </c>
      <c r="E9">
        <v>118</v>
      </c>
      <c r="F9" s="10">
        <f>E9/(D9*24)</f>
        <v>1415.9999999999825</v>
      </c>
      <c r="G9" s="9"/>
    </row>
    <row r="10" spans="1:7" ht="15">
      <c r="A10" s="6">
        <v>0.3541666666666667</v>
      </c>
      <c r="B10" s="6">
        <v>0.3576388888888889</v>
      </c>
      <c r="C10" s="6">
        <f>AVERAGE(A10:B10)</f>
        <v>0.3559027777777778</v>
      </c>
      <c r="D10" s="7">
        <f>B10-A10</f>
        <v>0.00347222222222221</v>
      </c>
      <c r="E10">
        <v>76</v>
      </c>
      <c r="F10" s="10">
        <f>E10/(D10*24)</f>
        <v>912.0000000000033</v>
      </c>
      <c r="G10" s="9"/>
    </row>
    <row r="11" spans="1:7" ht="15">
      <c r="A11" s="6"/>
      <c r="B11" s="6"/>
      <c r="C11" s="6"/>
      <c r="D11" s="7"/>
      <c r="F11" s="10"/>
      <c r="G11" s="9"/>
    </row>
    <row r="12" spans="3:6" ht="15">
      <c r="C12" t="s">
        <v>18</v>
      </c>
      <c r="D12" s="11">
        <f>SUM(D7:D11)</f>
        <v>0.013888888888888895</v>
      </c>
      <c r="E12" s="10">
        <f>SUM(E7:E11)</f>
        <v>361</v>
      </c>
      <c r="F12" s="8">
        <f>E12/(D12*24)</f>
        <v>1082.9999999999995</v>
      </c>
    </row>
    <row r="13" spans="3:4" ht="15">
      <c r="C13" t="s">
        <v>47</v>
      </c>
      <c r="D13" s="12"/>
    </row>
    <row r="14" spans="4:10" ht="15">
      <c r="D14" s="11"/>
      <c r="E14" s="13"/>
      <c r="F14" s="10"/>
      <c r="G14" s="10"/>
      <c r="H14" s="10"/>
      <c r="I14" s="10"/>
      <c r="J14" s="10"/>
    </row>
    <row r="15" spans="1:7" ht="15">
      <c r="A15" t="s">
        <v>48</v>
      </c>
      <c r="B15" s="4">
        <v>43284</v>
      </c>
      <c r="C15" s="5"/>
      <c r="D15" t="s">
        <v>36</v>
      </c>
      <c r="E15" t="s">
        <v>37</v>
      </c>
      <c r="F15" t="s">
        <v>38</v>
      </c>
      <c r="G15" t="s">
        <v>49</v>
      </c>
    </row>
    <row r="16" spans="1:11" ht="15">
      <c r="A16" t="s">
        <v>39</v>
      </c>
      <c r="G16" t="s">
        <v>40</v>
      </c>
      <c r="I16" t="s">
        <v>50</v>
      </c>
      <c r="K16" t="s">
        <v>6</v>
      </c>
    </row>
    <row r="17" spans="1:13" ht="15">
      <c r="A17" t="s">
        <v>41</v>
      </c>
      <c r="B17" t="s">
        <v>42</v>
      </c>
      <c r="C17" t="s">
        <v>43</v>
      </c>
      <c r="D17" t="s">
        <v>44</v>
      </c>
      <c r="E17" t="s">
        <v>51</v>
      </c>
      <c r="F17" t="s">
        <v>45</v>
      </c>
      <c r="G17" t="s">
        <v>52</v>
      </c>
      <c r="H17" t="s">
        <v>46</v>
      </c>
      <c r="I17" t="s">
        <v>51</v>
      </c>
      <c r="J17" t="s">
        <v>45</v>
      </c>
      <c r="K17" t="s">
        <v>53</v>
      </c>
      <c r="L17" t="s">
        <v>54</v>
      </c>
      <c r="M17" t="s">
        <v>55</v>
      </c>
    </row>
    <row r="18" spans="1:8" ht="15">
      <c r="A18" s="6">
        <v>0.27638888888888885</v>
      </c>
      <c r="B18" s="6">
        <v>0.2777777777777778</v>
      </c>
      <c r="C18" s="6">
        <f>AVERAGE(A18:B18)</f>
        <v>0.27708333333333335</v>
      </c>
      <c r="D18" s="7">
        <f>B18-A18</f>
        <v>0.0013888888888889395</v>
      </c>
      <c r="E18" s="14">
        <v>0</v>
      </c>
      <c r="F18">
        <v>13</v>
      </c>
      <c r="G18" s="8">
        <f>E18/($D18*24)</f>
        <v>0</v>
      </c>
      <c r="H18" s="8">
        <f>F18/($D18*24)</f>
        <v>389.9999999999858</v>
      </c>
    </row>
    <row r="19" spans="1:8" ht="15">
      <c r="A19" s="6">
        <f>B18</f>
        <v>0.2777777777777778</v>
      </c>
      <c r="B19" s="6">
        <v>0.2847222222222222</v>
      </c>
      <c r="C19" s="6">
        <f>AVERAGE(A19:B19)</f>
        <v>0.28125</v>
      </c>
      <c r="D19" s="7">
        <f>B19-A19</f>
        <v>0.00694444444444442</v>
      </c>
      <c r="E19" s="14">
        <v>6</v>
      </c>
      <c r="F19">
        <v>51</v>
      </c>
      <c r="G19" s="8">
        <f>E19/($D19*24)</f>
        <v>36.00000000000013</v>
      </c>
      <c r="H19" s="10">
        <f>F19/(D19*24)</f>
        <v>306.0000000000011</v>
      </c>
    </row>
    <row r="20" spans="1:8" ht="15">
      <c r="A20" s="6">
        <f aca="true" t="shared" si="0" ref="A20:A31">B19</f>
        <v>0.2847222222222222</v>
      </c>
      <c r="B20" s="6">
        <v>0.2916666666666667</v>
      </c>
      <c r="C20" s="6">
        <f>AVERAGE(A20:B20)</f>
        <v>0.2881944444444444</v>
      </c>
      <c r="D20" s="7">
        <f>B20-A20</f>
        <v>0.006944444444444475</v>
      </c>
      <c r="E20" s="14">
        <v>12</v>
      </c>
      <c r="F20">
        <v>66</v>
      </c>
      <c r="G20" s="8">
        <f>E20/($D20*24)</f>
        <v>71.99999999999969</v>
      </c>
      <c r="H20" s="10">
        <f>F20/(D20*24)</f>
        <v>395.99999999999824</v>
      </c>
    </row>
    <row r="21" spans="1:13" ht="15">
      <c r="A21" s="6">
        <f t="shared" si="0"/>
        <v>0.2916666666666667</v>
      </c>
      <c r="B21" s="6">
        <v>0.2986111111111111</v>
      </c>
      <c r="C21" s="6">
        <f>AVERAGE(A21:B21)</f>
        <v>0.2951388888888889</v>
      </c>
      <c r="D21" s="7">
        <f>B21-A21</f>
        <v>0.00694444444444442</v>
      </c>
      <c r="E21" s="14">
        <v>10</v>
      </c>
      <c r="F21">
        <v>70</v>
      </c>
      <c r="G21" s="8">
        <f>E21/($D21*24)</f>
        <v>60.00000000000021</v>
      </c>
      <c r="H21" s="10">
        <f>F21/(D21*24)</f>
        <v>420.0000000000015</v>
      </c>
      <c r="I21" s="15">
        <v>3</v>
      </c>
      <c r="J21" s="10">
        <v>9</v>
      </c>
      <c r="K21" s="9">
        <f aca="true" t="shared" si="1" ref="K21:L25">I21/E21</f>
        <v>0.3</v>
      </c>
      <c r="L21" s="9">
        <f t="shared" si="1"/>
        <v>0.12857142857142856</v>
      </c>
      <c r="M21" s="9">
        <f>(I21+J21)/(E21+F21)</f>
        <v>0.15</v>
      </c>
    </row>
    <row r="22" spans="1:13" ht="15">
      <c r="A22" s="6">
        <f t="shared" si="0"/>
        <v>0.2986111111111111</v>
      </c>
      <c r="B22" s="6">
        <v>0.3020833333333333</v>
      </c>
      <c r="C22" s="6">
        <f aca="true" t="shared" si="2" ref="C22:C29">AVERAGE(A22:B22)</f>
        <v>0.3003472222222222</v>
      </c>
      <c r="D22" s="7">
        <f aca="true" t="shared" si="3" ref="D22:D29">B22-A22</f>
        <v>0.00347222222222221</v>
      </c>
      <c r="E22" s="14">
        <v>4</v>
      </c>
      <c r="F22">
        <v>39</v>
      </c>
      <c r="G22" s="8">
        <f aca="true" t="shared" si="4" ref="G22:G29">E22/($D22*24)</f>
        <v>48.00000000000017</v>
      </c>
      <c r="H22" s="10">
        <f aca="true" t="shared" si="5" ref="H22:H29">F22/(D22*24)</f>
        <v>468.00000000000165</v>
      </c>
      <c r="I22" s="15">
        <v>1</v>
      </c>
      <c r="J22" s="10">
        <v>5</v>
      </c>
      <c r="K22" s="9">
        <f t="shared" si="1"/>
        <v>0.25</v>
      </c>
      <c r="L22" s="9">
        <f t="shared" si="1"/>
        <v>0.1282051282051282</v>
      </c>
      <c r="M22" s="9">
        <f>(I22+J22)/(E22+F22)</f>
        <v>0.13953488372093023</v>
      </c>
    </row>
    <row r="23" spans="1:13" ht="15">
      <c r="A23" s="6">
        <v>0.3048611111111111</v>
      </c>
      <c r="B23" s="6">
        <v>0.31180555555555556</v>
      </c>
      <c r="C23" s="6">
        <f t="shared" si="2"/>
        <v>0.30833333333333335</v>
      </c>
      <c r="D23" s="7">
        <f t="shared" si="3"/>
        <v>0.006944444444444475</v>
      </c>
      <c r="E23" s="14">
        <v>11</v>
      </c>
      <c r="F23">
        <v>90</v>
      </c>
      <c r="G23" s="8">
        <f t="shared" si="4"/>
        <v>65.9999999999997</v>
      </c>
      <c r="H23" s="10">
        <f t="shared" si="5"/>
        <v>539.9999999999976</v>
      </c>
      <c r="I23" s="15">
        <v>4</v>
      </c>
      <c r="J23" s="10">
        <v>12</v>
      </c>
      <c r="K23" s="9">
        <f t="shared" si="1"/>
        <v>0.36363636363636365</v>
      </c>
      <c r="L23" s="9">
        <f t="shared" si="1"/>
        <v>0.13333333333333333</v>
      </c>
      <c r="M23" s="9">
        <f>(I23+J23)/(E23+F23)</f>
        <v>0.15841584158415842</v>
      </c>
    </row>
    <row r="24" spans="1:13" ht="15">
      <c r="A24" s="6">
        <v>0.33125</v>
      </c>
      <c r="B24" s="6">
        <v>0.3333333333333333</v>
      </c>
      <c r="C24" s="6">
        <f t="shared" si="2"/>
        <v>0.33229166666666665</v>
      </c>
      <c r="D24" s="7">
        <f t="shared" si="3"/>
        <v>0.002083333333333326</v>
      </c>
      <c r="E24" s="14">
        <v>7</v>
      </c>
      <c r="F24">
        <v>44</v>
      </c>
      <c r="G24" s="8">
        <f t="shared" si="4"/>
        <v>140.0000000000005</v>
      </c>
      <c r="H24" s="10">
        <f t="shared" si="5"/>
        <v>880.0000000000032</v>
      </c>
      <c r="I24" s="15">
        <v>1</v>
      </c>
      <c r="J24" s="10">
        <v>9</v>
      </c>
      <c r="K24" s="9">
        <f t="shared" si="1"/>
        <v>0.14285714285714285</v>
      </c>
      <c r="L24" s="9">
        <f t="shared" si="1"/>
        <v>0.20454545454545456</v>
      </c>
      <c r="M24" s="9">
        <f>(I24+J24)/(E24+F24)</f>
        <v>0.19607843137254902</v>
      </c>
    </row>
    <row r="25" spans="1:13" ht="15">
      <c r="A25" s="6">
        <f t="shared" si="0"/>
        <v>0.3333333333333333</v>
      </c>
      <c r="B25" s="6">
        <v>0.34027777777777773</v>
      </c>
      <c r="C25" s="6">
        <f t="shared" si="2"/>
        <v>0.3368055555555555</v>
      </c>
      <c r="D25" s="7">
        <f t="shared" si="3"/>
        <v>0.00694444444444442</v>
      </c>
      <c r="E25" s="14">
        <v>16</v>
      </c>
      <c r="F25">
        <v>152</v>
      </c>
      <c r="G25" s="8">
        <f t="shared" si="4"/>
        <v>96.00000000000034</v>
      </c>
      <c r="H25" s="10">
        <f t="shared" si="5"/>
        <v>912.0000000000033</v>
      </c>
      <c r="I25" s="15">
        <v>5</v>
      </c>
      <c r="J25" s="10">
        <v>31</v>
      </c>
      <c r="K25" s="9">
        <f t="shared" si="1"/>
        <v>0.3125</v>
      </c>
      <c r="L25" s="9">
        <f t="shared" si="1"/>
        <v>0.20394736842105263</v>
      </c>
      <c r="M25" s="9">
        <f>(I25+J25)/(E25+F25)</f>
        <v>0.21428571428571427</v>
      </c>
    </row>
    <row r="26" spans="1:9" ht="15">
      <c r="A26" s="6">
        <f t="shared" si="0"/>
        <v>0.34027777777777773</v>
      </c>
      <c r="B26" s="6">
        <v>0.34722222222222227</v>
      </c>
      <c r="C26" s="6">
        <f t="shared" si="2"/>
        <v>0.34375</v>
      </c>
      <c r="D26" s="7">
        <f t="shared" si="3"/>
        <v>0.006944444444444531</v>
      </c>
      <c r="E26" s="14">
        <v>18</v>
      </c>
      <c r="F26">
        <v>170</v>
      </c>
      <c r="G26" s="8">
        <f t="shared" si="4"/>
        <v>107.99999999999866</v>
      </c>
      <c r="H26" s="10">
        <f t="shared" si="5"/>
        <v>1019.9999999999873</v>
      </c>
      <c r="I26" s="9"/>
    </row>
    <row r="27" spans="1:9" ht="15">
      <c r="A27" s="6">
        <f t="shared" si="0"/>
        <v>0.34722222222222227</v>
      </c>
      <c r="B27" s="6">
        <v>0.3541666666666667</v>
      </c>
      <c r="C27" s="6">
        <f t="shared" si="2"/>
        <v>0.3506944444444445</v>
      </c>
      <c r="D27" s="7">
        <f t="shared" si="3"/>
        <v>0.00694444444444442</v>
      </c>
      <c r="E27" s="14">
        <v>22</v>
      </c>
      <c r="F27">
        <v>215</v>
      </c>
      <c r="G27" s="8">
        <f t="shared" si="4"/>
        <v>132.00000000000048</v>
      </c>
      <c r="H27" s="10">
        <f t="shared" si="5"/>
        <v>1290.0000000000045</v>
      </c>
      <c r="I27" s="9"/>
    </row>
    <row r="28" spans="1:9" ht="15">
      <c r="A28" s="6">
        <f t="shared" si="0"/>
        <v>0.3541666666666667</v>
      </c>
      <c r="B28" s="6">
        <v>0.3611111111111111</v>
      </c>
      <c r="C28" s="6">
        <f t="shared" si="2"/>
        <v>0.3576388888888889</v>
      </c>
      <c r="D28" s="7">
        <f t="shared" si="3"/>
        <v>0.00694444444444442</v>
      </c>
      <c r="E28" s="14">
        <v>16</v>
      </c>
      <c r="F28">
        <v>186</v>
      </c>
      <c r="G28" s="8">
        <f t="shared" si="4"/>
        <v>96.00000000000034</v>
      </c>
      <c r="H28" s="10">
        <f t="shared" si="5"/>
        <v>1116.0000000000039</v>
      </c>
      <c r="I28" s="9"/>
    </row>
    <row r="29" spans="1:9" ht="15">
      <c r="A29" s="6">
        <f t="shared" si="0"/>
        <v>0.3611111111111111</v>
      </c>
      <c r="B29" s="6">
        <v>0.3680555555555556</v>
      </c>
      <c r="C29" s="6">
        <f t="shared" si="2"/>
        <v>0.36458333333333337</v>
      </c>
      <c r="D29" s="7">
        <f t="shared" si="3"/>
        <v>0.006944444444444475</v>
      </c>
      <c r="E29" s="14">
        <v>25</v>
      </c>
      <c r="F29">
        <v>180</v>
      </c>
      <c r="G29" s="8">
        <f t="shared" si="4"/>
        <v>149.99999999999935</v>
      </c>
      <c r="H29" s="10">
        <f t="shared" si="5"/>
        <v>1079.9999999999952</v>
      </c>
      <c r="I29" s="9"/>
    </row>
    <row r="30" spans="1:9" ht="15">
      <c r="A30" s="6">
        <f t="shared" si="0"/>
        <v>0.3680555555555556</v>
      </c>
      <c r="B30" s="6">
        <v>0.375</v>
      </c>
      <c r="C30" s="6">
        <f>AVERAGE(A30:B30)</f>
        <v>0.3715277777777778</v>
      </c>
      <c r="D30" s="7">
        <f>B30-A30</f>
        <v>0.00694444444444442</v>
      </c>
      <c r="E30" s="14">
        <v>17</v>
      </c>
      <c r="F30">
        <v>167</v>
      </c>
      <c r="G30" s="8">
        <f>E30/($D30*24)</f>
        <v>102.00000000000037</v>
      </c>
      <c r="H30" s="10">
        <f>F30/(D30*24)</f>
        <v>1002.0000000000035</v>
      </c>
      <c r="I30" s="9"/>
    </row>
    <row r="31" spans="1:9" ht="15">
      <c r="A31" s="6">
        <f t="shared" si="0"/>
        <v>0.375</v>
      </c>
      <c r="B31" s="6">
        <v>0.3819444444444444</v>
      </c>
      <c r="C31" s="6">
        <f>AVERAGE(A31:B31)</f>
        <v>0.3784722222222222</v>
      </c>
      <c r="D31" s="7">
        <f>B31-A31</f>
        <v>0.00694444444444442</v>
      </c>
      <c r="E31" s="14">
        <v>14</v>
      </c>
      <c r="F31">
        <v>138</v>
      </c>
      <c r="G31" s="8">
        <f>E31/($D31*24)</f>
        <v>84.0000000000003</v>
      </c>
      <c r="H31" s="10">
        <f>F31/(D31*24)</f>
        <v>828.000000000003</v>
      </c>
      <c r="I31" s="9"/>
    </row>
    <row r="32" spans="1:9" ht="15">
      <c r="A32" s="6"/>
      <c r="B32" s="6"/>
      <c r="C32" s="6"/>
      <c r="D32" s="7"/>
      <c r="E32" s="14"/>
      <c r="G32" s="10"/>
      <c r="H32" s="10"/>
      <c r="I32" s="9"/>
    </row>
    <row r="33" spans="3:13" ht="15">
      <c r="C33" t="s">
        <v>18</v>
      </c>
      <c r="D33" s="11">
        <f>SUM(D18:D32)</f>
        <v>0.08333333333333337</v>
      </c>
      <c r="E33" s="10">
        <f>SUM(E19:E32)</f>
        <v>178</v>
      </c>
      <c r="F33" s="10">
        <f>SUM(F18:F32)</f>
        <v>1581</v>
      </c>
      <c r="G33" s="8">
        <f>E33/(D33*24)</f>
        <v>88.99999999999996</v>
      </c>
      <c r="H33" s="8">
        <f>F33/(D33*24)</f>
        <v>790.4999999999997</v>
      </c>
      <c r="I33" s="10">
        <f>SUM(I18:I32)</f>
        <v>14</v>
      </c>
      <c r="J33" s="10">
        <f>SUM(J18:J32)</f>
        <v>66</v>
      </c>
      <c r="K33" s="9">
        <f>I33/I34</f>
        <v>0.2916666666666667</v>
      </c>
      <c r="L33" s="9">
        <f>J33/J34</f>
        <v>0.1670886075949367</v>
      </c>
      <c r="M33" s="9">
        <f>(I33+J33)/(I34+J34)</f>
        <v>0.18058690744920994</v>
      </c>
    </row>
    <row r="34" spans="3:11" ht="15">
      <c r="C34" t="s">
        <v>47</v>
      </c>
      <c r="D34" s="12"/>
      <c r="E34" s="16">
        <f>E33/F33</f>
        <v>0.11258697027197975</v>
      </c>
      <c r="H34" t="s">
        <v>56</v>
      </c>
      <c r="I34">
        <f>SUM(E21:E25)</f>
        <v>48</v>
      </c>
      <c r="J34">
        <f>SUM(F21:F25)</f>
        <v>395</v>
      </c>
      <c r="K34" s="9"/>
    </row>
    <row r="35" spans="1:11" ht="15">
      <c r="A35" s="6"/>
      <c r="B35" s="6"/>
      <c r="C35" s="6" t="s">
        <v>57</v>
      </c>
      <c r="D35" s="7"/>
      <c r="E35" s="17">
        <f>SUM(E27:E29)</f>
        <v>63</v>
      </c>
      <c r="F35" s="17">
        <f>SUM(F27:F29)</f>
        <v>581</v>
      </c>
      <c r="G35" s="17">
        <f>AVERAGE(G27:G29)</f>
        <v>126.00000000000006</v>
      </c>
      <c r="H35" s="17">
        <f>AVERAGE(H27:H29)</f>
        <v>1162.0000000000011</v>
      </c>
      <c r="I35" s="10"/>
      <c r="J35" s="10"/>
      <c r="K35" s="9"/>
    </row>
    <row r="36" spans="1:11" ht="15">
      <c r="A36" s="6"/>
      <c r="B36" s="6"/>
      <c r="C36" s="6"/>
      <c r="D36" s="7"/>
      <c r="E36" s="18"/>
      <c r="F36" s="14"/>
      <c r="G36" s="14"/>
      <c r="I36" s="10"/>
      <c r="J36" s="10"/>
      <c r="K36" s="9"/>
    </row>
    <row r="37" spans="1:12" ht="15">
      <c r="A37" s="6"/>
      <c r="B37" s="6"/>
      <c r="C37" s="6"/>
      <c r="D37" s="7"/>
      <c r="E37" s="18"/>
      <c r="F37" s="14"/>
      <c r="G37" s="14"/>
      <c r="I37" t="s">
        <v>58</v>
      </c>
      <c r="K37">
        <f>ABS(J41*K42-K41*J42)</f>
        <v>2362</v>
      </c>
      <c r="L37">
        <f>POWER(K37-L43/2,2)</f>
        <v>4581740.25</v>
      </c>
    </row>
    <row r="38" spans="1:9" ht="15">
      <c r="A38" s="6"/>
      <c r="B38" s="6"/>
      <c r="C38" s="6"/>
      <c r="D38" s="7"/>
      <c r="E38" s="18"/>
      <c r="F38" s="14"/>
      <c r="G38" s="14"/>
      <c r="I38" s="18" t="s">
        <v>59</v>
      </c>
    </row>
    <row r="39" spans="1:10" ht="15">
      <c r="A39" s="6"/>
      <c r="B39" s="6"/>
      <c r="C39" s="6"/>
      <c r="D39" s="7"/>
      <c r="E39" s="18"/>
      <c r="F39" s="14"/>
      <c r="G39" s="14"/>
      <c r="I39" s="18"/>
      <c r="J39" s="19" t="s">
        <v>60</v>
      </c>
    </row>
    <row r="40" spans="1:12" ht="15">
      <c r="A40" s="6"/>
      <c r="B40" s="6"/>
      <c r="C40" s="6"/>
      <c r="D40" s="7"/>
      <c r="E40" s="18"/>
      <c r="F40" s="14"/>
      <c r="G40" s="14"/>
      <c r="I40" s="18"/>
      <c r="J40" t="s">
        <v>16</v>
      </c>
      <c r="K40" t="s">
        <v>17</v>
      </c>
      <c r="L40" t="s">
        <v>61</v>
      </c>
    </row>
    <row r="41" spans="1:12" ht="15">
      <c r="A41" s="6"/>
      <c r="B41" s="6"/>
      <c r="C41" s="6"/>
      <c r="D41" s="7"/>
      <c r="E41" s="18"/>
      <c r="F41" s="14"/>
      <c r="G41" s="14"/>
      <c r="I41" s="18" t="s">
        <v>62</v>
      </c>
      <c r="J41">
        <f>L41-K41</f>
        <v>34</v>
      </c>
      <c r="K41" s="20">
        <f>I33</f>
        <v>14</v>
      </c>
      <c r="L41" s="20">
        <v>48</v>
      </c>
    </row>
    <row r="42" spans="5:12" ht="15">
      <c r="E42" s="18"/>
      <c r="I42" s="18" t="s">
        <v>63</v>
      </c>
      <c r="J42">
        <f>L42-K42</f>
        <v>329</v>
      </c>
      <c r="K42" s="20">
        <v>66</v>
      </c>
      <c r="L42" s="20">
        <f>J34</f>
        <v>395</v>
      </c>
    </row>
    <row r="43" spans="4:12" ht="15">
      <c r="D43" s="11"/>
      <c r="E43" s="13"/>
      <c r="F43" s="10"/>
      <c r="G43" s="10"/>
      <c r="H43" s="10"/>
      <c r="I43" s="18" t="s">
        <v>24</v>
      </c>
      <c r="J43">
        <f>J41+J42</f>
        <v>363</v>
      </c>
      <c r="K43">
        <f>K41+K42</f>
        <v>80</v>
      </c>
      <c r="L43">
        <f>J43+K43</f>
        <v>443</v>
      </c>
    </row>
    <row r="44" spans="4:9" ht="15">
      <c r="D44" s="12"/>
      <c r="E44" s="18"/>
      <c r="I44" s="18"/>
    </row>
    <row r="45" spans="4:10" ht="15">
      <c r="D45" s="11"/>
      <c r="E45" s="13"/>
      <c r="F45" s="10"/>
      <c r="G45" s="10"/>
      <c r="H45" s="10"/>
      <c r="I45" s="21" t="s">
        <v>64</v>
      </c>
      <c r="J45" s="22">
        <f>L43*L37/(J43*K43*L42*L41)</f>
        <v>3.68637273691678</v>
      </c>
    </row>
    <row r="46" spans="9:10" ht="15">
      <c r="I46" s="21" t="s">
        <v>20</v>
      </c>
      <c r="J46" s="23">
        <f>CHIDIST(J45,1)</f>
        <v>0.05485879620845985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52"/>
  <sheetViews>
    <sheetView zoomScalePageLayoutView="0" workbookViewId="0" topLeftCell="A1">
      <selection activeCell="AN49" sqref="AN49"/>
    </sheetView>
  </sheetViews>
  <sheetFormatPr defaultColWidth="9.140625" defaultRowHeight="15"/>
  <cols>
    <col min="2" max="2" width="10.421875" style="0" customWidth="1"/>
    <col min="3" max="3" width="9.8515625" style="0" bestFit="1" customWidth="1"/>
    <col min="4" max="7" width="7.7109375" style="0" customWidth="1"/>
    <col min="8" max="8" width="9.28125" style="0" customWidth="1"/>
    <col min="9" max="31" width="7.7109375" style="0" customWidth="1"/>
  </cols>
  <sheetData>
    <row r="1" spans="1:26" ht="15">
      <c r="A1" s="24">
        <f>H17</f>
        <v>487.99999999999915</v>
      </c>
      <c r="C1" t="s">
        <v>65</v>
      </c>
      <c r="H1" s="4">
        <v>43286</v>
      </c>
      <c r="I1" t="s">
        <v>66</v>
      </c>
      <c r="K1" t="s">
        <v>36</v>
      </c>
      <c r="L1" t="s">
        <v>67</v>
      </c>
      <c r="P1" t="s">
        <v>68</v>
      </c>
      <c r="W1" t="s">
        <v>69</v>
      </c>
      <c r="Z1" t="s">
        <v>39</v>
      </c>
    </row>
    <row r="2" spans="4:29" ht="15">
      <c r="D2" s="25" t="s">
        <v>39</v>
      </c>
      <c r="J2" t="s">
        <v>70</v>
      </c>
      <c r="K2" t="s">
        <v>70</v>
      </c>
      <c r="L2" t="s">
        <v>70</v>
      </c>
      <c r="M2" t="s">
        <v>71</v>
      </c>
      <c r="N2" t="s">
        <v>71</v>
      </c>
      <c r="O2" t="s">
        <v>71</v>
      </c>
      <c r="P2" t="s">
        <v>70</v>
      </c>
      <c r="Q2" t="s">
        <v>70</v>
      </c>
      <c r="R2" t="s">
        <v>70</v>
      </c>
      <c r="S2" t="s">
        <v>71</v>
      </c>
      <c r="T2" t="s">
        <v>71</v>
      </c>
      <c r="U2" t="s">
        <v>71</v>
      </c>
      <c r="W2" t="s">
        <v>72</v>
      </c>
      <c r="Y2" t="s">
        <v>63</v>
      </c>
      <c r="AA2" t="s">
        <v>73</v>
      </c>
      <c r="AC2" t="s">
        <v>74</v>
      </c>
    </row>
    <row r="3" spans="1:30" ht="15">
      <c r="A3" t="s">
        <v>75</v>
      </c>
      <c r="B3" t="s">
        <v>76</v>
      </c>
      <c r="C3" t="s">
        <v>44</v>
      </c>
      <c r="D3" s="25" t="s">
        <v>77</v>
      </c>
      <c r="E3" t="s">
        <v>78</v>
      </c>
      <c r="F3" t="s">
        <v>79</v>
      </c>
      <c r="G3" t="s">
        <v>80</v>
      </c>
      <c r="H3" t="s">
        <v>81</v>
      </c>
      <c r="I3" t="s">
        <v>82</v>
      </c>
      <c r="J3" t="s">
        <v>83</v>
      </c>
      <c r="K3" t="s">
        <v>84</v>
      </c>
      <c r="L3" t="s">
        <v>85</v>
      </c>
      <c r="M3" t="s">
        <v>83</v>
      </c>
      <c r="N3" t="s">
        <v>84</v>
      </c>
      <c r="O3" t="s">
        <v>85</v>
      </c>
      <c r="P3" t="s">
        <v>83</v>
      </c>
      <c r="Q3" t="s">
        <v>84</v>
      </c>
      <c r="R3" t="s">
        <v>85</v>
      </c>
      <c r="S3" t="s">
        <v>83</v>
      </c>
      <c r="T3" t="s">
        <v>84</v>
      </c>
      <c r="U3" t="s">
        <v>85</v>
      </c>
      <c r="V3" s="26"/>
      <c r="W3" s="26" t="s">
        <v>86</v>
      </c>
      <c r="X3" s="26" t="s">
        <v>87</v>
      </c>
      <c r="Y3" s="26" t="s">
        <v>86</v>
      </c>
      <c r="Z3" s="26" t="s">
        <v>87</v>
      </c>
      <c r="AA3" s="26" t="s">
        <v>88</v>
      </c>
      <c r="AB3" s="26" t="s">
        <v>89</v>
      </c>
      <c r="AC3" s="26" t="s">
        <v>88</v>
      </c>
      <c r="AD3" s="26" t="s">
        <v>89</v>
      </c>
    </row>
    <row r="4" spans="1:27" s="10" customFormat="1" ht="15">
      <c r="A4" s="6">
        <v>0.7312500000000001</v>
      </c>
      <c r="B4" s="6">
        <v>0.7361111111111112</v>
      </c>
      <c r="C4" s="6">
        <f aca="true" t="shared" si="0" ref="C4:C12">B4-A4</f>
        <v>0.004861111111111094</v>
      </c>
      <c r="D4" s="25">
        <v>0</v>
      </c>
      <c r="E4" s="27">
        <v>4</v>
      </c>
      <c r="F4" s="27">
        <v>0</v>
      </c>
      <c r="G4" s="27">
        <v>0</v>
      </c>
      <c r="H4" s="27">
        <v>44</v>
      </c>
      <c r="I4" s="27">
        <v>7</v>
      </c>
      <c r="J4" s="27"/>
      <c r="K4" s="27"/>
      <c r="L4" s="27"/>
      <c r="M4" s="27">
        <v>6</v>
      </c>
      <c r="N4" s="27">
        <v>11</v>
      </c>
      <c r="O4" s="27">
        <v>0</v>
      </c>
      <c r="P4" s="28"/>
      <c r="Q4" s="29"/>
      <c r="S4" s="29"/>
      <c r="T4" s="30"/>
      <c r="U4" s="29"/>
      <c r="W4" s="10">
        <f>H4+M4</f>
        <v>50</v>
      </c>
      <c r="X4" s="10">
        <f>SUM(G4:I4)</f>
        <v>51</v>
      </c>
      <c r="Y4" s="10">
        <f>SUM(D4:F4)</f>
        <v>4</v>
      </c>
      <c r="Z4" s="10">
        <f>J4+E4</f>
        <v>4</v>
      </c>
      <c r="AA4" s="10">
        <f>SUM(M4:O4)</f>
        <v>17</v>
      </c>
    </row>
    <row r="5" spans="1:30" ht="15">
      <c r="A5" s="6">
        <f>B4</f>
        <v>0.7361111111111112</v>
      </c>
      <c r="B5" s="6">
        <v>0.7430555555555555</v>
      </c>
      <c r="C5" s="6">
        <f t="shared" si="0"/>
        <v>0.006944444444444309</v>
      </c>
      <c r="D5" s="25">
        <v>0</v>
      </c>
      <c r="E5">
        <v>5</v>
      </c>
      <c r="F5">
        <v>0</v>
      </c>
      <c r="G5">
        <v>0</v>
      </c>
      <c r="H5">
        <v>67</v>
      </c>
      <c r="I5">
        <v>2</v>
      </c>
      <c r="J5">
        <v>1</v>
      </c>
      <c r="K5" s="27">
        <v>1</v>
      </c>
      <c r="L5" s="27">
        <v>0</v>
      </c>
      <c r="M5" s="27"/>
      <c r="P5" s="28"/>
      <c r="Q5" s="29"/>
      <c r="R5" s="10"/>
      <c r="S5" s="29"/>
      <c r="T5" s="30"/>
      <c r="U5" s="29"/>
      <c r="V5" s="10"/>
      <c r="X5" s="10">
        <f aca="true" t="shared" si="1" ref="X5:X12">SUM(G5:I5)</f>
        <v>69</v>
      </c>
      <c r="Y5" s="10">
        <f aca="true" t="shared" si="2" ref="Y5:Y12">SUM(D5:F5)</f>
        <v>5</v>
      </c>
      <c r="Z5" s="10">
        <f>J5+E5</f>
        <v>6</v>
      </c>
      <c r="AB5">
        <f>SUM(J5:L5)</f>
        <v>2</v>
      </c>
      <c r="AC5" s="10">
        <f>SUM(J5:L5)</f>
        <v>2</v>
      </c>
      <c r="AD5">
        <f>K5+F5+G5</f>
        <v>1</v>
      </c>
    </row>
    <row r="6" spans="1:25" ht="15">
      <c r="A6" s="6">
        <f aca="true" t="shared" si="3" ref="A6:A12">B5</f>
        <v>0.7430555555555555</v>
      </c>
      <c r="B6" s="6">
        <v>0.75</v>
      </c>
      <c r="C6" s="6">
        <f t="shared" si="0"/>
        <v>0.006944444444444531</v>
      </c>
      <c r="D6" s="25">
        <v>1</v>
      </c>
      <c r="E6">
        <v>5</v>
      </c>
      <c r="F6">
        <v>1</v>
      </c>
      <c r="G6">
        <v>0</v>
      </c>
      <c r="H6">
        <v>62</v>
      </c>
      <c r="I6">
        <v>12</v>
      </c>
      <c r="P6" s="28"/>
      <c r="Q6" s="31"/>
      <c r="R6" s="31"/>
      <c r="S6" s="31">
        <v>1</v>
      </c>
      <c r="T6" s="32">
        <v>66</v>
      </c>
      <c r="U6" s="31">
        <v>0</v>
      </c>
      <c r="V6" s="10"/>
      <c r="X6" s="10">
        <f t="shared" si="1"/>
        <v>74</v>
      </c>
      <c r="Y6" s="10">
        <f t="shared" si="2"/>
        <v>7</v>
      </c>
    </row>
    <row r="7" spans="1:25" ht="15">
      <c r="A7" s="6">
        <f t="shared" si="3"/>
        <v>0.75</v>
      </c>
      <c r="B7" s="6">
        <v>0.7569444444444445</v>
      </c>
      <c r="C7" s="6">
        <f t="shared" si="0"/>
        <v>0.006944444444444531</v>
      </c>
      <c r="D7" s="25">
        <v>0</v>
      </c>
      <c r="E7">
        <v>8</v>
      </c>
      <c r="F7">
        <v>1</v>
      </c>
      <c r="G7">
        <v>0</v>
      </c>
      <c r="H7">
        <v>89</v>
      </c>
      <c r="I7">
        <v>5</v>
      </c>
      <c r="P7" s="28">
        <v>2</v>
      </c>
      <c r="Q7" s="31">
        <v>96</v>
      </c>
      <c r="R7" s="31">
        <v>8</v>
      </c>
      <c r="S7" s="31"/>
      <c r="T7" s="31"/>
      <c r="U7" s="31"/>
      <c r="V7" s="10"/>
      <c r="X7" s="10">
        <f t="shared" si="1"/>
        <v>94</v>
      </c>
      <c r="Y7" s="10">
        <f t="shared" si="2"/>
        <v>9</v>
      </c>
    </row>
    <row r="8" spans="1:27" ht="15">
      <c r="A8" s="6">
        <f t="shared" si="3"/>
        <v>0.7569444444444445</v>
      </c>
      <c r="B8" s="6">
        <v>0.7638888888888888</v>
      </c>
      <c r="C8" s="6">
        <f t="shared" si="0"/>
        <v>0.006944444444444309</v>
      </c>
      <c r="D8" s="25">
        <v>0</v>
      </c>
      <c r="E8">
        <v>2</v>
      </c>
      <c r="F8">
        <v>2</v>
      </c>
      <c r="G8">
        <v>0</v>
      </c>
      <c r="H8">
        <v>86</v>
      </c>
      <c r="I8">
        <v>11</v>
      </c>
      <c r="M8">
        <v>6</v>
      </c>
      <c r="N8">
        <v>15</v>
      </c>
      <c r="O8">
        <v>0</v>
      </c>
      <c r="P8" s="28"/>
      <c r="Q8" s="29"/>
      <c r="R8" s="27"/>
      <c r="S8" s="31"/>
      <c r="T8" s="27"/>
      <c r="U8" s="31"/>
      <c r="V8" s="10"/>
      <c r="W8" s="10">
        <f>H8+M8</f>
        <v>92</v>
      </c>
      <c r="X8" s="10">
        <f t="shared" si="1"/>
        <v>97</v>
      </c>
      <c r="Y8" s="10">
        <f t="shared" si="2"/>
        <v>4</v>
      </c>
      <c r="AA8" s="10">
        <f>SUM(M8:O8)</f>
        <v>21</v>
      </c>
    </row>
    <row r="9" spans="1:27" ht="15">
      <c r="A9" s="6">
        <f t="shared" si="3"/>
        <v>0.7638888888888888</v>
      </c>
      <c r="B9" s="6">
        <v>0.7708333333333334</v>
      </c>
      <c r="C9" s="6">
        <f t="shared" si="0"/>
        <v>0.006944444444444531</v>
      </c>
      <c r="D9" s="25">
        <v>0</v>
      </c>
      <c r="E9">
        <v>2</v>
      </c>
      <c r="F9">
        <v>2</v>
      </c>
      <c r="G9">
        <v>1</v>
      </c>
      <c r="H9">
        <v>69</v>
      </c>
      <c r="I9">
        <v>15</v>
      </c>
      <c r="M9">
        <v>6</v>
      </c>
      <c r="N9">
        <v>12</v>
      </c>
      <c r="O9">
        <v>1</v>
      </c>
      <c r="P9" s="28"/>
      <c r="Q9" s="29"/>
      <c r="R9" s="27"/>
      <c r="S9" s="31"/>
      <c r="T9" s="27"/>
      <c r="U9" s="31"/>
      <c r="V9" s="10"/>
      <c r="W9" s="10">
        <f>H9+M9</f>
        <v>75</v>
      </c>
      <c r="X9" s="10">
        <f t="shared" si="1"/>
        <v>85</v>
      </c>
      <c r="Y9" s="10">
        <f t="shared" si="2"/>
        <v>4</v>
      </c>
      <c r="AA9" s="10">
        <f>SUM(M9:O9)</f>
        <v>19</v>
      </c>
    </row>
    <row r="10" spans="1:27" ht="15">
      <c r="A10" s="6">
        <f t="shared" si="3"/>
        <v>0.7708333333333334</v>
      </c>
      <c r="B10" s="6">
        <v>0.7777777777777778</v>
      </c>
      <c r="C10" s="6">
        <f t="shared" si="0"/>
        <v>0.00694444444444442</v>
      </c>
      <c r="D10" s="25">
        <v>0</v>
      </c>
      <c r="E10">
        <v>8</v>
      </c>
      <c r="F10">
        <v>0</v>
      </c>
      <c r="G10">
        <v>0</v>
      </c>
      <c r="H10">
        <v>90</v>
      </c>
      <c r="I10">
        <v>11</v>
      </c>
      <c r="M10">
        <v>4</v>
      </c>
      <c r="N10">
        <v>10</v>
      </c>
      <c r="O10">
        <v>0</v>
      </c>
      <c r="P10" s="28"/>
      <c r="Q10" s="29"/>
      <c r="R10" s="27"/>
      <c r="S10" s="31"/>
      <c r="T10" s="27"/>
      <c r="U10" s="31"/>
      <c r="V10" s="10"/>
      <c r="W10" s="10">
        <f>H10+M10</f>
        <v>94</v>
      </c>
      <c r="X10" s="10">
        <f t="shared" si="1"/>
        <v>101</v>
      </c>
      <c r="Y10" s="10">
        <f t="shared" si="2"/>
        <v>8</v>
      </c>
      <c r="AA10" s="10">
        <f>SUM(M10:O10)</f>
        <v>14</v>
      </c>
    </row>
    <row r="11" spans="1:30" ht="15">
      <c r="A11" s="6">
        <f t="shared" si="3"/>
        <v>0.7777777777777778</v>
      </c>
      <c r="B11" s="6">
        <v>0.784722222222222</v>
      </c>
      <c r="C11" s="6">
        <f t="shared" si="0"/>
        <v>0.006944444444444198</v>
      </c>
      <c r="D11" s="25">
        <v>0</v>
      </c>
      <c r="E11">
        <v>2</v>
      </c>
      <c r="F11">
        <v>1</v>
      </c>
      <c r="G11">
        <v>0</v>
      </c>
      <c r="H11">
        <v>60</v>
      </c>
      <c r="I11">
        <v>17</v>
      </c>
      <c r="J11">
        <v>3</v>
      </c>
      <c r="K11">
        <v>4</v>
      </c>
      <c r="L11">
        <v>0</v>
      </c>
      <c r="P11" s="28"/>
      <c r="Q11" s="29"/>
      <c r="R11" s="27"/>
      <c r="S11" s="31"/>
      <c r="T11" s="27"/>
      <c r="U11" s="31"/>
      <c r="V11" s="10"/>
      <c r="X11" s="10">
        <f t="shared" si="1"/>
        <v>77</v>
      </c>
      <c r="Y11" s="10">
        <f t="shared" si="2"/>
        <v>3</v>
      </c>
      <c r="Z11" s="10">
        <f>J11+E11</f>
        <v>5</v>
      </c>
      <c r="AB11">
        <f>SUM(J11:L11)</f>
        <v>7</v>
      </c>
      <c r="AC11" s="10">
        <f>SUM(J11:L11)</f>
        <v>7</v>
      </c>
      <c r="AD11">
        <f>K11+F11+G11</f>
        <v>5</v>
      </c>
    </row>
    <row r="12" spans="1:27" ht="15">
      <c r="A12" s="6">
        <f t="shared" si="3"/>
        <v>0.784722222222222</v>
      </c>
      <c r="B12" s="6">
        <v>0.791666666666667</v>
      </c>
      <c r="C12" s="6">
        <f t="shared" si="0"/>
        <v>0.006944444444444975</v>
      </c>
      <c r="D12" s="25">
        <v>0</v>
      </c>
      <c r="E12">
        <v>5</v>
      </c>
      <c r="F12">
        <v>0</v>
      </c>
      <c r="G12">
        <v>1</v>
      </c>
      <c r="H12">
        <v>45</v>
      </c>
      <c r="I12">
        <v>6</v>
      </c>
      <c r="M12">
        <v>0</v>
      </c>
      <c r="N12">
        <v>10</v>
      </c>
      <c r="O12">
        <v>0</v>
      </c>
      <c r="P12" s="28"/>
      <c r="Q12" s="29"/>
      <c r="R12" s="27"/>
      <c r="S12" s="31"/>
      <c r="T12" s="27"/>
      <c r="U12" s="31"/>
      <c r="V12" s="10"/>
      <c r="W12" s="10">
        <f>H12+M12</f>
        <v>45</v>
      </c>
      <c r="X12" s="10">
        <f t="shared" si="1"/>
        <v>52</v>
      </c>
      <c r="Y12" s="10">
        <f t="shared" si="2"/>
        <v>5</v>
      </c>
      <c r="AA12" s="10">
        <f>SUM(M12:O12)</f>
        <v>10</v>
      </c>
    </row>
    <row r="13" spans="3:20" ht="15">
      <c r="C13" s="6"/>
      <c r="D13" s="25"/>
      <c r="P13" s="25"/>
      <c r="T13" s="33"/>
    </row>
    <row r="14" spans="2:25" ht="15">
      <c r="B14" t="s">
        <v>24</v>
      </c>
      <c r="C14" s="6">
        <f aca="true" t="shared" si="4" ref="C14:O14">SUM(C4:C12)</f>
        <v>0.060416666666666896</v>
      </c>
      <c r="D14" s="25">
        <f t="shared" si="4"/>
        <v>1</v>
      </c>
      <c r="E14" s="25">
        <f t="shared" si="4"/>
        <v>41</v>
      </c>
      <c r="F14">
        <f t="shared" si="4"/>
        <v>7</v>
      </c>
      <c r="G14">
        <f t="shared" si="4"/>
        <v>2</v>
      </c>
      <c r="H14">
        <f t="shared" si="4"/>
        <v>612</v>
      </c>
      <c r="I14">
        <f t="shared" si="4"/>
        <v>86</v>
      </c>
      <c r="J14">
        <f t="shared" si="4"/>
        <v>4</v>
      </c>
      <c r="K14">
        <f t="shared" si="4"/>
        <v>5</v>
      </c>
      <c r="L14">
        <f t="shared" si="4"/>
        <v>0</v>
      </c>
      <c r="M14">
        <f t="shared" si="4"/>
        <v>22</v>
      </c>
      <c r="N14">
        <f t="shared" si="4"/>
        <v>58</v>
      </c>
      <c r="O14">
        <f t="shared" si="4"/>
        <v>1</v>
      </c>
      <c r="P14" s="25">
        <f aca="true" t="shared" si="5" ref="P14:U14">SUM(P4:P8)</f>
        <v>2</v>
      </c>
      <c r="Q14">
        <f t="shared" si="5"/>
        <v>96</v>
      </c>
      <c r="R14">
        <f t="shared" si="5"/>
        <v>8</v>
      </c>
      <c r="S14">
        <f t="shared" si="5"/>
        <v>1</v>
      </c>
      <c r="T14">
        <f t="shared" si="5"/>
        <v>66</v>
      </c>
      <c r="U14">
        <f t="shared" si="5"/>
        <v>0</v>
      </c>
      <c r="V14" s="8"/>
      <c r="W14" s="25">
        <f>SUM(W4:W12)</f>
        <v>356</v>
      </c>
      <c r="X14" s="25">
        <f>SUM(X4:X12)</f>
        <v>700</v>
      </c>
      <c r="Y14" s="25">
        <f>SUM(Y4:Y12)</f>
        <v>49</v>
      </c>
    </row>
    <row r="15" spans="2:28" ht="15">
      <c r="B15" t="s">
        <v>90</v>
      </c>
      <c r="C15" s="6"/>
      <c r="D15" s="34">
        <f aca="true" t="shared" si="6" ref="D15:I15">D14/$C14/24</f>
        <v>0.6896551724137905</v>
      </c>
      <c r="E15" s="34">
        <f t="shared" si="6"/>
        <v>28.27586206896541</v>
      </c>
      <c r="F15" s="34">
        <f t="shared" si="6"/>
        <v>4.827586206896533</v>
      </c>
      <c r="G15" s="34">
        <f t="shared" si="6"/>
        <v>1.379310344827581</v>
      </c>
      <c r="H15" s="34">
        <f t="shared" si="6"/>
        <v>422.0689655172398</v>
      </c>
      <c r="I15" s="34">
        <f t="shared" si="6"/>
        <v>59.310344827585986</v>
      </c>
      <c r="J15" s="35">
        <f>J14/20*60</f>
        <v>12</v>
      </c>
      <c r="K15" s="35">
        <f>K14/20*60</f>
        <v>15</v>
      </c>
      <c r="L15" s="35">
        <f>L14/20*60</f>
        <v>0</v>
      </c>
      <c r="M15" s="35">
        <f>M14/47*60</f>
        <v>28.085106382978722</v>
      </c>
      <c r="N15" s="35">
        <f>N14/47*60</f>
        <v>74.04255319148936</v>
      </c>
      <c r="O15" s="35">
        <f>O14/47*60</f>
        <v>1.2765957446808511</v>
      </c>
      <c r="P15" s="35">
        <f aca="true" t="shared" si="7" ref="P15:U15">P14/10*60</f>
        <v>12</v>
      </c>
      <c r="Q15" s="35">
        <f t="shared" si="7"/>
        <v>576</v>
      </c>
      <c r="R15" s="35">
        <f t="shared" si="7"/>
        <v>48</v>
      </c>
      <c r="S15" s="35">
        <f t="shared" si="7"/>
        <v>6</v>
      </c>
      <c r="T15" s="35">
        <f t="shared" si="7"/>
        <v>396</v>
      </c>
      <c r="U15" s="35">
        <f t="shared" si="7"/>
        <v>0</v>
      </c>
      <c r="W15" s="34">
        <f>W14*60/47</f>
        <v>454.468085106383</v>
      </c>
      <c r="X15" s="34">
        <f>X14/$C14/24</f>
        <v>482.75862068965336</v>
      </c>
      <c r="Y15" s="34">
        <f>Y14/$C14/24</f>
        <v>33.79310344827574</v>
      </c>
      <c r="Z15" s="24"/>
      <c r="AA15" s="24">
        <f>SUM(P15:R15)</f>
        <v>636</v>
      </c>
      <c r="AB15" s="24">
        <f>SUM(S15:U15)</f>
        <v>402</v>
      </c>
    </row>
    <row r="16" spans="2:25" ht="15">
      <c r="B16" t="s">
        <v>91</v>
      </c>
      <c r="C16" s="6">
        <f aca="true" t="shared" si="8" ref="C16:I16">SUM(C7:C9)</f>
        <v>0.02083333333333337</v>
      </c>
      <c r="D16" s="25">
        <f t="shared" si="8"/>
        <v>0</v>
      </c>
      <c r="E16" s="25">
        <f t="shared" si="8"/>
        <v>12</v>
      </c>
      <c r="F16" s="25">
        <f t="shared" si="8"/>
        <v>5</v>
      </c>
      <c r="G16" s="25">
        <f t="shared" si="8"/>
        <v>1</v>
      </c>
      <c r="H16" s="25">
        <f t="shared" si="8"/>
        <v>244</v>
      </c>
      <c r="I16" s="25">
        <f t="shared" si="8"/>
        <v>31</v>
      </c>
      <c r="J16" s="25"/>
      <c r="K16" s="25"/>
      <c r="L16" s="25"/>
      <c r="M16" s="25">
        <f>SUM(M8:M10)</f>
        <v>16</v>
      </c>
      <c r="N16" s="25">
        <f>SUM(N8:N10)</f>
        <v>37</v>
      </c>
      <c r="O16" s="25">
        <f>SUM(O8:O10)</f>
        <v>1</v>
      </c>
      <c r="Q16" s="29"/>
      <c r="W16" s="25">
        <f>SUM(W8:W10)</f>
        <v>261</v>
      </c>
      <c r="X16" s="25">
        <f>SUM(X8:X10)</f>
        <v>283</v>
      </c>
      <c r="Y16" s="25">
        <f>SUM(Y7:Y9)</f>
        <v>17</v>
      </c>
    </row>
    <row r="17" spans="2:25" ht="15">
      <c r="B17" t="s">
        <v>90</v>
      </c>
      <c r="D17" s="34">
        <f aca="true" t="shared" si="9" ref="D17:I17">D16/$C16/24</f>
        <v>0</v>
      </c>
      <c r="E17" s="34">
        <f t="shared" si="9"/>
        <v>23.999999999999957</v>
      </c>
      <c r="F17" s="34">
        <f t="shared" si="9"/>
        <v>9.999999999999982</v>
      </c>
      <c r="G17" s="34">
        <f t="shared" si="9"/>
        <v>1.9999999999999964</v>
      </c>
      <c r="H17" s="34">
        <f t="shared" si="9"/>
        <v>487.99999999999915</v>
      </c>
      <c r="I17" s="34">
        <f t="shared" si="9"/>
        <v>61.999999999999886</v>
      </c>
      <c r="J17" s="34"/>
      <c r="K17" s="34"/>
      <c r="L17" s="34"/>
      <c r="M17" s="34">
        <f>M16/$C16/24</f>
        <v>31.999999999999943</v>
      </c>
      <c r="N17" s="34">
        <f>N16/$C16/24</f>
        <v>73.99999999999987</v>
      </c>
      <c r="O17" s="34">
        <f>O16/$C16/24</f>
        <v>1.9999999999999964</v>
      </c>
      <c r="Q17" s="29"/>
      <c r="W17" s="34">
        <f>W16/$C16/24</f>
        <v>521.9999999999991</v>
      </c>
      <c r="X17" s="34">
        <f>X16/$C16/24</f>
        <v>565.999999999999</v>
      </c>
      <c r="Y17" s="34">
        <f>Y16/$C16/24</f>
        <v>33.999999999999936</v>
      </c>
    </row>
    <row r="18" spans="4:17" ht="15">
      <c r="D18" s="25"/>
      <c r="P18" s="12"/>
      <c r="Q18" s="29"/>
    </row>
    <row r="19" spans="4:16" ht="15">
      <c r="D19" s="25"/>
      <c r="P19" s="25"/>
    </row>
    <row r="20" spans="4:17" ht="15">
      <c r="D20" s="25"/>
      <c r="P20" s="25"/>
      <c r="Q20" s="26"/>
    </row>
    <row r="21" spans="1:18" ht="15">
      <c r="A21" t="s">
        <v>92</v>
      </c>
      <c r="C21" t="s">
        <v>93</v>
      </c>
      <c r="P21" s="25"/>
      <c r="R21" s="5"/>
    </row>
    <row r="22" spans="2:38" ht="15">
      <c r="B22" s="1"/>
      <c r="C22" s="36"/>
      <c r="P22" s="25"/>
      <c r="R22" s="37"/>
      <c r="S22" s="38"/>
      <c r="U22" s="8"/>
      <c r="V22" s="8"/>
      <c r="W22" s="8"/>
      <c r="AB22" s="18" t="s">
        <v>69</v>
      </c>
      <c r="AE22" t="s">
        <v>94</v>
      </c>
      <c r="AG22" s="18" t="s">
        <v>56</v>
      </c>
      <c r="AK22" s="18" t="s">
        <v>72</v>
      </c>
      <c r="AL22" s="26" t="s">
        <v>87</v>
      </c>
    </row>
    <row r="23" spans="4:40" ht="15">
      <c r="D23" s="25" t="s">
        <v>95</v>
      </c>
      <c r="J23" t="s">
        <v>70</v>
      </c>
      <c r="K23" t="s">
        <v>70</v>
      </c>
      <c r="L23" t="s">
        <v>70</v>
      </c>
      <c r="M23" t="s">
        <v>71</v>
      </c>
      <c r="N23" t="s">
        <v>71</v>
      </c>
      <c r="O23" t="s">
        <v>71</v>
      </c>
      <c r="P23" s="25" t="s">
        <v>94</v>
      </c>
      <c r="V23" t="s">
        <v>70</v>
      </c>
      <c r="W23" t="s">
        <v>70</v>
      </c>
      <c r="X23" t="s">
        <v>70</v>
      </c>
      <c r="Y23" t="s">
        <v>71</v>
      </c>
      <c r="Z23" t="s">
        <v>71</v>
      </c>
      <c r="AA23" t="s">
        <v>71</v>
      </c>
      <c r="AB23" s="18" t="s">
        <v>72</v>
      </c>
      <c r="AD23" t="s">
        <v>63</v>
      </c>
      <c r="AF23" t="s">
        <v>73</v>
      </c>
      <c r="AG23" s="18" t="s">
        <v>96</v>
      </c>
      <c r="AH23" s="39" t="s">
        <v>97</v>
      </c>
      <c r="AI23" s="40" t="s">
        <v>98</v>
      </c>
      <c r="AJ23" s="40" t="s">
        <v>6</v>
      </c>
      <c r="AK23" s="18" t="s">
        <v>96</v>
      </c>
      <c r="AL23" s="39" t="s">
        <v>97</v>
      </c>
      <c r="AM23" s="40" t="s">
        <v>98</v>
      </c>
      <c r="AN23" s="39" t="s">
        <v>6</v>
      </c>
    </row>
    <row r="24" spans="1:41" ht="15">
      <c r="A24" t="s">
        <v>75</v>
      </c>
      <c r="B24" t="s">
        <v>76</v>
      </c>
      <c r="C24" t="s">
        <v>44</v>
      </c>
      <c r="D24" s="25" t="s">
        <v>77</v>
      </c>
      <c r="E24" t="s">
        <v>78</v>
      </c>
      <c r="F24" t="s">
        <v>79</v>
      </c>
      <c r="G24" t="s">
        <v>80</v>
      </c>
      <c r="H24" t="s">
        <v>81</v>
      </c>
      <c r="I24" t="s">
        <v>82</v>
      </c>
      <c r="J24" t="s">
        <v>83</v>
      </c>
      <c r="K24" t="s">
        <v>84</v>
      </c>
      <c r="L24" t="s">
        <v>85</v>
      </c>
      <c r="M24" t="s">
        <v>83</v>
      </c>
      <c r="N24" t="s">
        <v>84</v>
      </c>
      <c r="O24" t="s">
        <v>85</v>
      </c>
      <c r="P24" s="25" t="s">
        <v>77</v>
      </c>
      <c r="Q24" t="s">
        <v>78</v>
      </c>
      <c r="R24" t="s">
        <v>79</v>
      </c>
      <c r="S24" t="s">
        <v>80</v>
      </c>
      <c r="T24" t="s">
        <v>81</v>
      </c>
      <c r="U24" t="s">
        <v>82</v>
      </c>
      <c r="V24" t="s">
        <v>83</v>
      </c>
      <c r="W24" t="s">
        <v>84</v>
      </c>
      <c r="X24" t="s">
        <v>85</v>
      </c>
      <c r="Y24" t="s">
        <v>83</v>
      </c>
      <c r="Z24" t="s">
        <v>84</v>
      </c>
      <c r="AA24" t="s">
        <v>85</v>
      </c>
      <c r="AB24" s="41" t="s">
        <v>86</v>
      </c>
      <c r="AC24" s="26" t="s">
        <v>87</v>
      </c>
      <c r="AD24" s="26" t="s">
        <v>86</v>
      </c>
      <c r="AE24" s="26" t="s">
        <v>87</v>
      </c>
      <c r="AF24" s="26" t="s">
        <v>88</v>
      </c>
      <c r="AG24" s="41"/>
      <c r="AH24" s="27"/>
      <c r="AI24" s="27"/>
      <c r="AK24" s="18"/>
      <c r="AO24" s="40"/>
    </row>
    <row r="25" spans="1:37" ht="15">
      <c r="A25" s="6">
        <v>0.7312500000000001</v>
      </c>
      <c r="B25" s="6">
        <v>0.7361111111111112</v>
      </c>
      <c r="C25" s="6">
        <f aca="true" t="shared" si="10" ref="C25:C33">B25-A25</f>
        <v>0.004861111111111094</v>
      </c>
      <c r="D25" s="25">
        <v>0</v>
      </c>
      <c r="E25" s="27">
        <v>4</v>
      </c>
      <c r="F25" s="27">
        <v>0</v>
      </c>
      <c r="G25" s="27">
        <v>0</v>
      </c>
      <c r="H25" s="27">
        <v>44</v>
      </c>
      <c r="I25" s="27">
        <v>7</v>
      </c>
      <c r="J25" s="27"/>
      <c r="K25" s="27"/>
      <c r="L25" s="27"/>
      <c r="M25" s="27">
        <v>6</v>
      </c>
      <c r="N25" s="27">
        <v>11</v>
      </c>
      <c r="O25" s="27">
        <v>0</v>
      </c>
      <c r="P25" s="25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13"/>
      <c r="AC25" s="10"/>
      <c r="AD25" s="10">
        <f aca="true" t="shared" si="11" ref="AD25:AD33">SUM(N26:P26)</f>
        <v>0</v>
      </c>
      <c r="AE25" s="10">
        <f>T26+O26</f>
        <v>12</v>
      </c>
      <c r="AF25" s="10">
        <f>SUM(W26:Y26)</f>
        <v>0</v>
      </c>
      <c r="AG25" s="13"/>
      <c r="AH25" s="39"/>
      <c r="AI25" s="27"/>
      <c r="AK25" s="18"/>
    </row>
    <row r="26" spans="1:40" ht="15">
      <c r="A26" s="6">
        <f>B25</f>
        <v>0.7361111111111112</v>
      </c>
      <c r="B26" s="6">
        <v>0.7430555555555555</v>
      </c>
      <c r="C26" s="6">
        <f t="shared" si="10"/>
        <v>0.006944444444444309</v>
      </c>
      <c r="D26" s="25">
        <v>0</v>
      </c>
      <c r="E26">
        <v>5</v>
      </c>
      <c r="F26">
        <v>0</v>
      </c>
      <c r="G26">
        <v>0</v>
      </c>
      <c r="H26">
        <v>67</v>
      </c>
      <c r="I26">
        <v>2</v>
      </c>
      <c r="J26">
        <v>1</v>
      </c>
      <c r="K26" s="27">
        <v>1</v>
      </c>
      <c r="L26" s="27">
        <v>0</v>
      </c>
      <c r="M26" s="27"/>
      <c r="P26" s="25">
        <v>0</v>
      </c>
      <c r="Q26">
        <v>0</v>
      </c>
      <c r="R26">
        <v>0</v>
      </c>
      <c r="S26">
        <v>0</v>
      </c>
      <c r="T26">
        <v>12</v>
      </c>
      <c r="U26">
        <v>0</v>
      </c>
      <c r="V26">
        <v>0</v>
      </c>
      <c r="W26" s="27">
        <v>0</v>
      </c>
      <c r="X26" s="27">
        <v>0</v>
      </c>
      <c r="Y26" s="27"/>
      <c r="AB26" s="18"/>
      <c r="AC26" s="10">
        <f>SUM(S26:U26)</f>
        <v>12</v>
      </c>
      <c r="AD26" s="10">
        <f t="shared" si="11"/>
        <v>0</v>
      </c>
      <c r="AE26" s="10">
        <f>T27+O27</f>
        <v>16</v>
      </c>
      <c r="AG26" s="18">
        <f>SUM(D26:O26)</f>
        <v>76</v>
      </c>
      <c r="AH26" s="39">
        <f>SUM(D26:O26)-AI26</f>
        <v>64</v>
      </c>
      <c r="AI26" s="27">
        <f>SUM(P26:AA26)</f>
        <v>12</v>
      </c>
      <c r="AJ26" s="9">
        <f>AI26/AG26</f>
        <v>0.15789473684210525</v>
      </c>
      <c r="AK26" s="42">
        <f>SUM(G26:I26)</f>
        <v>69</v>
      </c>
      <c r="AL26" s="15">
        <f>AK26-AM26</f>
        <v>57</v>
      </c>
      <c r="AM26" s="15">
        <f>SUM(S26:U26)</f>
        <v>12</v>
      </c>
      <c r="AN26" s="9">
        <f>AM26/AK26</f>
        <v>0.17391304347826086</v>
      </c>
    </row>
    <row r="27" spans="1:40" ht="15">
      <c r="A27" s="6">
        <f aca="true" t="shared" si="12" ref="A27:A33">B26</f>
        <v>0.7430555555555555</v>
      </c>
      <c r="B27" s="6">
        <v>0.75</v>
      </c>
      <c r="C27" s="6">
        <f t="shared" si="10"/>
        <v>0.006944444444444531</v>
      </c>
      <c r="D27" s="25">
        <v>1</v>
      </c>
      <c r="E27">
        <v>5</v>
      </c>
      <c r="F27">
        <v>1</v>
      </c>
      <c r="G27">
        <v>0</v>
      </c>
      <c r="H27">
        <v>62</v>
      </c>
      <c r="I27">
        <v>12</v>
      </c>
      <c r="P27" s="25">
        <v>0</v>
      </c>
      <c r="Q27">
        <v>2</v>
      </c>
      <c r="R27">
        <v>1</v>
      </c>
      <c r="S27">
        <v>0</v>
      </c>
      <c r="T27">
        <v>16</v>
      </c>
      <c r="U27">
        <v>3</v>
      </c>
      <c r="AB27" s="18"/>
      <c r="AC27" s="10">
        <f>SUM(S27:U27)</f>
        <v>19</v>
      </c>
      <c r="AD27" s="10">
        <f t="shared" si="11"/>
        <v>0</v>
      </c>
      <c r="AG27" s="18">
        <f>SUM(D27:O27)</f>
        <v>81</v>
      </c>
      <c r="AH27" s="39">
        <f>SUM(D27:O27)-AI27</f>
        <v>59</v>
      </c>
      <c r="AI27" s="27">
        <f>SUM(P27:AA27)</f>
        <v>22</v>
      </c>
      <c r="AJ27" s="9">
        <f>AI27/AG27</f>
        <v>0.2716049382716049</v>
      </c>
      <c r="AK27" s="42">
        <f>SUM(G27:I27)</f>
        <v>74</v>
      </c>
      <c r="AL27" s="15">
        <f>AK27-AM27</f>
        <v>55</v>
      </c>
      <c r="AM27" s="15">
        <f>SUM(S27:U27)</f>
        <v>19</v>
      </c>
      <c r="AN27" s="9">
        <f>AM27/AK27</f>
        <v>0.25675675675675674</v>
      </c>
    </row>
    <row r="28" spans="1:40" ht="15">
      <c r="A28" s="6">
        <f t="shared" si="12"/>
        <v>0.75</v>
      </c>
      <c r="B28" s="6">
        <v>0.7569444444444445</v>
      </c>
      <c r="C28" s="6">
        <f t="shared" si="10"/>
        <v>0.006944444444444531</v>
      </c>
      <c r="D28" s="25">
        <v>0</v>
      </c>
      <c r="E28">
        <v>8</v>
      </c>
      <c r="F28">
        <v>1</v>
      </c>
      <c r="G28">
        <v>0</v>
      </c>
      <c r="H28">
        <v>89</v>
      </c>
      <c r="I28">
        <v>5</v>
      </c>
      <c r="P28" s="25">
        <v>0</v>
      </c>
      <c r="Q28">
        <v>2</v>
      </c>
      <c r="R28">
        <v>0</v>
      </c>
      <c r="S28">
        <v>0</v>
      </c>
      <c r="T28">
        <v>31</v>
      </c>
      <c r="U28">
        <v>2</v>
      </c>
      <c r="AB28" s="18"/>
      <c r="AC28" s="10">
        <f>SUM(S28:U28)</f>
        <v>33</v>
      </c>
      <c r="AD28" s="10">
        <f t="shared" si="11"/>
        <v>15</v>
      </c>
      <c r="AG28" s="18">
        <f>SUM(D28:O28)</f>
        <v>103</v>
      </c>
      <c r="AH28" s="39">
        <f>SUM(D28:O28)-AI28</f>
        <v>68</v>
      </c>
      <c r="AI28" s="27">
        <f>SUM(P28:AA28)</f>
        <v>35</v>
      </c>
      <c r="AJ28" s="9">
        <f>AI28/AG28</f>
        <v>0.33980582524271846</v>
      </c>
      <c r="AK28" s="42">
        <f>SUM(G28:I28)</f>
        <v>94</v>
      </c>
      <c r="AL28" s="15">
        <f>AK28-AM28</f>
        <v>61</v>
      </c>
      <c r="AM28" s="15">
        <f>SUM(S28:U28)</f>
        <v>33</v>
      </c>
      <c r="AN28" s="9">
        <f>AM28/AK28</f>
        <v>0.35106382978723405</v>
      </c>
    </row>
    <row r="29" spans="1:37" ht="15">
      <c r="A29" s="6">
        <f t="shared" si="12"/>
        <v>0.7569444444444445</v>
      </c>
      <c r="B29" s="6">
        <v>0.7638888888888888</v>
      </c>
      <c r="C29" s="6">
        <f t="shared" si="10"/>
        <v>0.006944444444444309</v>
      </c>
      <c r="D29" s="25">
        <v>0</v>
      </c>
      <c r="E29">
        <v>2</v>
      </c>
      <c r="F29">
        <v>2</v>
      </c>
      <c r="G29">
        <v>0</v>
      </c>
      <c r="H29">
        <v>86</v>
      </c>
      <c r="I29">
        <v>11</v>
      </c>
      <c r="M29">
        <v>6</v>
      </c>
      <c r="N29">
        <v>15</v>
      </c>
      <c r="O29">
        <v>0</v>
      </c>
      <c r="P29" s="25"/>
      <c r="AB29" s="13"/>
      <c r="AC29" s="10"/>
      <c r="AD29" s="10">
        <f t="shared" si="11"/>
        <v>13</v>
      </c>
      <c r="AF29" s="10">
        <f>SUM(W30:Y30)</f>
        <v>0</v>
      </c>
      <c r="AG29" s="13"/>
      <c r="AH29" s="39"/>
      <c r="AI29" s="27"/>
      <c r="AK29" s="18"/>
    </row>
    <row r="30" spans="1:37" ht="15">
      <c r="A30" s="6">
        <f t="shared" si="12"/>
        <v>0.7638888888888888</v>
      </c>
      <c r="B30" s="6">
        <v>0.7708333333333334</v>
      </c>
      <c r="C30" s="6">
        <f t="shared" si="10"/>
        <v>0.006944444444444531</v>
      </c>
      <c r="D30" s="25">
        <v>0</v>
      </c>
      <c r="E30">
        <v>2</v>
      </c>
      <c r="F30">
        <v>2</v>
      </c>
      <c r="G30">
        <v>1</v>
      </c>
      <c r="H30">
        <v>69</v>
      </c>
      <c r="I30">
        <v>15</v>
      </c>
      <c r="M30">
        <v>6</v>
      </c>
      <c r="N30">
        <v>12</v>
      </c>
      <c r="O30">
        <v>1</v>
      </c>
      <c r="P30" s="25"/>
      <c r="AB30" s="13"/>
      <c r="AC30" s="10"/>
      <c r="AD30" s="10">
        <f t="shared" si="11"/>
        <v>10</v>
      </c>
      <c r="AF30" s="10">
        <f>SUM(W31:Y31)</f>
        <v>1</v>
      </c>
      <c r="AG30" s="13"/>
      <c r="AH30" s="39"/>
      <c r="AI30" s="27"/>
      <c r="AK30" s="18"/>
    </row>
    <row r="31" spans="1:40" ht="15">
      <c r="A31" s="6">
        <f t="shared" si="12"/>
        <v>0.7708333333333334</v>
      </c>
      <c r="B31" s="6">
        <v>0.7777777777777778</v>
      </c>
      <c r="C31" s="6">
        <f t="shared" si="10"/>
        <v>0.00694444444444442</v>
      </c>
      <c r="D31" s="25">
        <v>0</v>
      </c>
      <c r="E31">
        <v>8</v>
      </c>
      <c r="F31">
        <v>0</v>
      </c>
      <c r="G31">
        <v>0</v>
      </c>
      <c r="H31">
        <v>90</v>
      </c>
      <c r="I31">
        <v>11</v>
      </c>
      <c r="M31">
        <v>4</v>
      </c>
      <c r="N31">
        <v>10</v>
      </c>
      <c r="O31">
        <v>0</v>
      </c>
      <c r="P31" s="25">
        <v>0</v>
      </c>
      <c r="Q31">
        <v>4</v>
      </c>
      <c r="R31">
        <v>0</v>
      </c>
      <c r="S31">
        <v>0</v>
      </c>
      <c r="T31">
        <v>22</v>
      </c>
      <c r="U31">
        <v>1</v>
      </c>
      <c r="Y31">
        <v>1</v>
      </c>
      <c r="Z31">
        <v>1</v>
      </c>
      <c r="AA31">
        <v>0</v>
      </c>
      <c r="AB31" s="13"/>
      <c r="AC31" s="10">
        <f>SUM(S31:U31)</f>
        <v>23</v>
      </c>
      <c r="AD31" s="10">
        <f t="shared" si="11"/>
        <v>0</v>
      </c>
      <c r="AF31" s="10">
        <f>SUM(W32:Y32)</f>
        <v>0</v>
      </c>
      <c r="AG31" s="18">
        <f>SUM(D31:O31)</f>
        <v>123</v>
      </c>
      <c r="AH31" s="39">
        <f>SUM(D31:O31)-AI31</f>
        <v>94</v>
      </c>
      <c r="AI31" s="27">
        <f>SUM(P31:AA31)</f>
        <v>29</v>
      </c>
      <c r="AJ31" s="9">
        <f>AI31/AG31</f>
        <v>0.23577235772357724</v>
      </c>
      <c r="AK31" s="42">
        <f>SUM(G31:I31)</f>
        <v>101</v>
      </c>
      <c r="AL31" s="15">
        <f>AK31-AM31</f>
        <v>78</v>
      </c>
      <c r="AM31" s="15">
        <f>SUM(S31:U31)</f>
        <v>23</v>
      </c>
      <c r="AN31" s="9">
        <f>AM31/AK31</f>
        <v>0.22772277227722773</v>
      </c>
    </row>
    <row r="32" spans="1:40" ht="15">
      <c r="A32" s="6">
        <f t="shared" si="12"/>
        <v>0.7777777777777778</v>
      </c>
      <c r="B32" s="6">
        <v>0.784722222222222</v>
      </c>
      <c r="C32" s="6">
        <f t="shared" si="10"/>
        <v>0.006944444444444198</v>
      </c>
      <c r="D32" s="25">
        <v>0</v>
      </c>
      <c r="E32">
        <v>2</v>
      </c>
      <c r="F32">
        <v>1</v>
      </c>
      <c r="G32">
        <v>0</v>
      </c>
      <c r="H32">
        <v>60</v>
      </c>
      <c r="I32">
        <v>17</v>
      </c>
      <c r="J32">
        <v>3</v>
      </c>
      <c r="K32">
        <v>4</v>
      </c>
      <c r="L32">
        <v>0</v>
      </c>
      <c r="P32" s="25">
        <v>0</v>
      </c>
      <c r="Q32">
        <v>0</v>
      </c>
      <c r="R32">
        <v>1</v>
      </c>
      <c r="S32">
        <v>0</v>
      </c>
      <c r="T32">
        <v>15</v>
      </c>
      <c r="U32">
        <v>4</v>
      </c>
      <c r="V32">
        <v>1</v>
      </c>
      <c r="W32">
        <v>0</v>
      </c>
      <c r="X32">
        <v>0</v>
      </c>
      <c r="AB32" s="18"/>
      <c r="AC32" s="10">
        <f>SUM(S32:U32)</f>
        <v>19</v>
      </c>
      <c r="AD32" s="10">
        <f t="shared" si="11"/>
        <v>10</v>
      </c>
      <c r="AE32" s="10">
        <f>T33+O33</f>
        <v>15</v>
      </c>
      <c r="AG32" s="18">
        <f>SUM(D32:O32)</f>
        <v>87</v>
      </c>
      <c r="AH32" s="39">
        <f>SUM(D32:O32)-AI32</f>
        <v>66</v>
      </c>
      <c r="AI32" s="27">
        <f>SUM(P32:AA32)</f>
        <v>21</v>
      </c>
      <c r="AJ32" s="9">
        <f>AI32/AG32</f>
        <v>0.2413793103448276</v>
      </c>
      <c r="AK32" s="42">
        <f>SUM(G32:I32)</f>
        <v>77</v>
      </c>
      <c r="AL32" s="15">
        <f>AK32-AM32</f>
        <v>58</v>
      </c>
      <c r="AM32" s="15">
        <f>SUM(S32:U32)</f>
        <v>19</v>
      </c>
      <c r="AN32" s="9">
        <f>AM32/AK32</f>
        <v>0.24675324675324675</v>
      </c>
    </row>
    <row r="33" spans="1:40" ht="15">
      <c r="A33" s="6">
        <f t="shared" si="12"/>
        <v>0.784722222222222</v>
      </c>
      <c r="B33" s="6">
        <v>0.791666666666667</v>
      </c>
      <c r="C33" s="6">
        <f t="shared" si="10"/>
        <v>0.006944444444444975</v>
      </c>
      <c r="D33" s="25">
        <v>0</v>
      </c>
      <c r="E33">
        <v>5</v>
      </c>
      <c r="F33">
        <v>0</v>
      </c>
      <c r="G33">
        <v>1</v>
      </c>
      <c r="H33">
        <v>45</v>
      </c>
      <c r="I33">
        <v>6</v>
      </c>
      <c r="M33">
        <v>0</v>
      </c>
      <c r="N33">
        <v>10</v>
      </c>
      <c r="O33">
        <v>0</v>
      </c>
      <c r="P33" s="25">
        <v>0</v>
      </c>
      <c r="Q33">
        <v>1</v>
      </c>
      <c r="R33">
        <v>0</v>
      </c>
      <c r="S33">
        <v>0</v>
      </c>
      <c r="T33">
        <v>15</v>
      </c>
      <c r="U33">
        <v>0</v>
      </c>
      <c r="Y33">
        <v>0</v>
      </c>
      <c r="Z33">
        <v>1</v>
      </c>
      <c r="AA33">
        <v>0</v>
      </c>
      <c r="AB33" s="13"/>
      <c r="AC33" s="10">
        <f>SUM(S33:U33)</f>
        <v>15</v>
      </c>
      <c r="AD33" s="10">
        <f t="shared" si="11"/>
        <v>0</v>
      </c>
      <c r="AF33" s="10">
        <f>SUM(W34:Y34)</f>
        <v>0</v>
      </c>
      <c r="AG33" s="18">
        <f>SUM(D33:O33)</f>
        <v>67</v>
      </c>
      <c r="AH33" s="39">
        <f>SUM(D33:O33)-AI33</f>
        <v>50</v>
      </c>
      <c r="AI33" s="27">
        <f>SUM(P33:AA33)</f>
        <v>17</v>
      </c>
      <c r="AJ33" s="9">
        <f>AI33/AG33</f>
        <v>0.2537313432835821</v>
      </c>
      <c r="AK33" s="42">
        <f>SUM(G33:I33)</f>
        <v>52</v>
      </c>
      <c r="AL33" s="15">
        <f>AK33-AM33</f>
        <v>37</v>
      </c>
      <c r="AM33" s="15">
        <f>SUM(S33:U33)</f>
        <v>15</v>
      </c>
      <c r="AN33" s="9">
        <f>AM33/AK33</f>
        <v>0.28846153846153844</v>
      </c>
    </row>
    <row r="34" spans="3:37" ht="15">
      <c r="C34" s="6"/>
      <c r="D34" s="25"/>
      <c r="P34" s="25"/>
      <c r="AB34" s="18"/>
      <c r="AG34" s="18"/>
      <c r="AH34" s="39"/>
      <c r="AK34" s="18"/>
    </row>
    <row r="35" spans="2:40" ht="15">
      <c r="B35" t="s">
        <v>24</v>
      </c>
      <c r="C35" s="6">
        <f aca="true" t="shared" si="13" ref="C35:AA35">SUM(C25:C33)</f>
        <v>0.060416666666666896</v>
      </c>
      <c r="D35" s="25">
        <f t="shared" si="13"/>
        <v>1</v>
      </c>
      <c r="E35" s="25">
        <f t="shared" si="13"/>
        <v>41</v>
      </c>
      <c r="F35">
        <f t="shared" si="13"/>
        <v>7</v>
      </c>
      <c r="G35">
        <f t="shared" si="13"/>
        <v>2</v>
      </c>
      <c r="H35">
        <f t="shared" si="13"/>
        <v>612</v>
      </c>
      <c r="I35">
        <f t="shared" si="13"/>
        <v>86</v>
      </c>
      <c r="J35">
        <f t="shared" si="13"/>
        <v>4</v>
      </c>
      <c r="K35">
        <f t="shared" si="13"/>
        <v>5</v>
      </c>
      <c r="L35">
        <f t="shared" si="13"/>
        <v>0</v>
      </c>
      <c r="M35">
        <f t="shared" si="13"/>
        <v>22</v>
      </c>
      <c r="N35">
        <f t="shared" si="13"/>
        <v>58</v>
      </c>
      <c r="O35">
        <f t="shared" si="13"/>
        <v>1</v>
      </c>
      <c r="P35" s="25">
        <f t="shared" si="13"/>
        <v>0</v>
      </c>
      <c r="Q35" s="25">
        <f t="shared" si="13"/>
        <v>9</v>
      </c>
      <c r="R35">
        <f t="shared" si="13"/>
        <v>2</v>
      </c>
      <c r="S35">
        <f t="shared" si="13"/>
        <v>0</v>
      </c>
      <c r="T35">
        <f t="shared" si="13"/>
        <v>111</v>
      </c>
      <c r="U35">
        <f t="shared" si="13"/>
        <v>10</v>
      </c>
      <c r="V35">
        <f t="shared" si="13"/>
        <v>1</v>
      </c>
      <c r="W35">
        <f t="shared" si="13"/>
        <v>0</v>
      </c>
      <c r="X35">
        <f t="shared" si="13"/>
        <v>0</v>
      </c>
      <c r="Y35">
        <f t="shared" si="13"/>
        <v>1</v>
      </c>
      <c r="Z35">
        <f t="shared" si="13"/>
        <v>2</v>
      </c>
      <c r="AA35">
        <f t="shared" si="13"/>
        <v>0</v>
      </c>
      <c r="AB35" s="43">
        <f>SUM(AB25:AB33)</f>
        <v>0</v>
      </c>
      <c r="AC35" s="25">
        <f>SUM(AC25:AC33)</f>
        <v>121</v>
      </c>
      <c r="AD35" s="25">
        <f>SUM(AD25:AD33)</f>
        <v>48</v>
      </c>
      <c r="AG35" s="33">
        <f aca="true" t="shared" si="14" ref="AG35:AM35">SUM(AG25:AG33)</f>
        <v>537</v>
      </c>
      <c r="AH35" s="33">
        <f t="shared" si="14"/>
        <v>401</v>
      </c>
      <c r="AI35" s="33">
        <f t="shared" si="14"/>
        <v>136</v>
      </c>
      <c r="AJ35" s="9">
        <f>AI35/AG35</f>
        <v>0.2532588454376164</v>
      </c>
      <c r="AK35" s="33">
        <f t="shared" si="14"/>
        <v>467</v>
      </c>
      <c r="AL35" s="33">
        <f t="shared" si="14"/>
        <v>346</v>
      </c>
      <c r="AM35" s="33">
        <f t="shared" si="14"/>
        <v>121</v>
      </c>
      <c r="AN35" s="9">
        <f>AM35/AK35</f>
        <v>0.25910064239828695</v>
      </c>
    </row>
    <row r="36" spans="2:37" ht="15">
      <c r="B36" t="s">
        <v>90</v>
      </c>
      <c r="C36" s="6"/>
      <c r="D36" s="34">
        <f aca="true" t="shared" si="15" ref="D36:I36">D35/$C35/24</f>
        <v>0.6896551724137905</v>
      </c>
      <c r="E36" s="34">
        <f t="shared" si="15"/>
        <v>28.27586206896541</v>
      </c>
      <c r="F36" s="34">
        <f t="shared" si="15"/>
        <v>4.827586206896533</v>
      </c>
      <c r="G36" s="34">
        <f t="shared" si="15"/>
        <v>1.379310344827581</v>
      </c>
      <c r="H36" s="34">
        <f t="shared" si="15"/>
        <v>422.0689655172398</v>
      </c>
      <c r="I36" s="34">
        <f t="shared" si="15"/>
        <v>59.310344827585986</v>
      </c>
      <c r="J36" s="35">
        <f>J35/20*60</f>
        <v>12</v>
      </c>
      <c r="K36" s="35">
        <f>K35/20*60</f>
        <v>15</v>
      </c>
      <c r="L36" s="35">
        <f>L35/20*60</f>
        <v>0</v>
      </c>
      <c r="M36" s="35">
        <f>M35/47*60</f>
        <v>28.085106382978722</v>
      </c>
      <c r="N36" s="35">
        <f>N35/47*60</f>
        <v>74.04255319148936</v>
      </c>
      <c r="O36" s="35">
        <f>O35/47*60</f>
        <v>1.2765957446808511</v>
      </c>
      <c r="P36" s="34">
        <f aca="true" t="shared" si="16" ref="P36:U36">P35/$C35/24</f>
        <v>0</v>
      </c>
      <c r="Q36" s="34">
        <f t="shared" si="16"/>
        <v>6.206896551724114</v>
      </c>
      <c r="R36" s="34">
        <f t="shared" si="16"/>
        <v>1.379310344827581</v>
      </c>
      <c r="S36" s="34">
        <f t="shared" si="16"/>
        <v>0</v>
      </c>
      <c r="T36" s="34">
        <f t="shared" si="16"/>
        <v>76.55172413793075</v>
      </c>
      <c r="U36" s="34">
        <f t="shared" si="16"/>
        <v>6.896551724137905</v>
      </c>
      <c r="V36" s="35">
        <f>V35/20*60</f>
        <v>3</v>
      </c>
      <c r="W36" s="35">
        <f>W35/20*60</f>
        <v>0</v>
      </c>
      <c r="X36" s="35">
        <f>X35/20*60</f>
        <v>0</v>
      </c>
      <c r="Y36" s="35">
        <f>Y35/47*60</f>
        <v>1.2765957446808511</v>
      </c>
      <c r="Z36" s="35">
        <f>Z35/47*60</f>
        <v>2.5531914893617023</v>
      </c>
      <c r="AA36" s="35">
        <f>AA35/47*60</f>
        <v>0</v>
      </c>
      <c r="AB36" s="44">
        <f>AB35*60/47</f>
        <v>0</v>
      </c>
      <c r="AC36" s="34" t="e">
        <f>AC35/$C36/24</f>
        <v>#DIV/0!</v>
      </c>
      <c r="AD36" s="34" t="e">
        <f>AD35/$C36/24</f>
        <v>#DIV/0!</v>
      </c>
      <c r="AE36" s="24"/>
      <c r="AF36" s="24">
        <f>SUM(Z37:AA37)</f>
        <v>1</v>
      </c>
      <c r="AG36" s="44"/>
      <c r="AH36" s="33"/>
      <c r="AI36" s="33"/>
      <c r="AK36" s="18"/>
    </row>
    <row r="37" spans="2:37" ht="15">
      <c r="B37" t="s">
        <v>91</v>
      </c>
      <c r="C37" s="6">
        <f aca="true" t="shared" si="17" ref="C37:I37">SUM(C28:C30)</f>
        <v>0.02083333333333337</v>
      </c>
      <c r="D37" s="25">
        <f t="shared" si="17"/>
        <v>0</v>
      </c>
      <c r="E37" s="25">
        <f t="shared" si="17"/>
        <v>12</v>
      </c>
      <c r="F37" s="25">
        <f t="shared" si="17"/>
        <v>5</v>
      </c>
      <c r="G37" s="25">
        <f t="shared" si="17"/>
        <v>1</v>
      </c>
      <c r="H37" s="25">
        <f t="shared" si="17"/>
        <v>244</v>
      </c>
      <c r="I37" s="25">
        <f t="shared" si="17"/>
        <v>31</v>
      </c>
      <c r="J37" s="25"/>
      <c r="K37" s="25"/>
      <c r="L37" s="25"/>
      <c r="M37" s="25">
        <f>SUM(M29:M31)</f>
        <v>16</v>
      </c>
      <c r="N37" s="25">
        <f>SUM(N29:N31)</f>
        <v>37</v>
      </c>
      <c r="O37" s="25">
        <f>SUM(O29:O31)</f>
        <v>1</v>
      </c>
      <c r="P37" s="25">
        <f aca="true" t="shared" si="18" ref="P37:U37">SUM(P28:P30)</f>
        <v>0</v>
      </c>
      <c r="Q37" s="25">
        <f t="shared" si="18"/>
        <v>2</v>
      </c>
      <c r="R37" s="25">
        <f t="shared" si="18"/>
        <v>0</v>
      </c>
      <c r="S37" s="25">
        <f t="shared" si="18"/>
        <v>0</v>
      </c>
      <c r="T37" s="25">
        <f t="shared" si="18"/>
        <v>31</v>
      </c>
      <c r="U37" s="25">
        <f t="shared" si="18"/>
        <v>2</v>
      </c>
      <c r="V37" s="25"/>
      <c r="W37" s="25"/>
      <c r="X37" s="25"/>
      <c r="Y37" s="25">
        <f>SUM(Y29:Y31)</f>
        <v>1</v>
      </c>
      <c r="Z37" s="25">
        <f>SUM(Z29:Z31)</f>
        <v>1</v>
      </c>
      <c r="AA37" s="25">
        <f>SUM(AA29:AA31)</f>
        <v>0</v>
      </c>
      <c r="AB37" s="43">
        <f>SUM(AB29:AB31)</f>
        <v>0</v>
      </c>
      <c r="AC37" s="25">
        <f>SUM(AC29:AC31)</f>
        <v>23</v>
      </c>
      <c r="AD37" s="25">
        <f>SUM(AD28:AD30)</f>
        <v>38</v>
      </c>
      <c r="AG37" s="18"/>
      <c r="AH37" s="35"/>
      <c r="AI37" s="35"/>
      <c r="AK37" s="18"/>
    </row>
    <row r="38" spans="2:37" ht="15">
      <c r="B38" t="s">
        <v>90</v>
      </c>
      <c r="D38" s="34">
        <f aca="true" t="shared" si="19" ref="D38:I38">D37/$C37/24</f>
        <v>0</v>
      </c>
      <c r="E38" s="34">
        <f t="shared" si="19"/>
        <v>23.999999999999957</v>
      </c>
      <c r="F38" s="34">
        <f t="shared" si="19"/>
        <v>9.999999999999982</v>
      </c>
      <c r="G38" s="34">
        <f t="shared" si="19"/>
        <v>1.9999999999999964</v>
      </c>
      <c r="H38" s="34">
        <f t="shared" si="19"/>
        <v>487.99999999999915</v>
      </c>
      <c r="I38" s="34">
        <f t="shared" si="19"/>
        <v>61.999999999999886</v>
      </c>
      <c r="J38" s="34"/>
      <c r="K38" s="34"/>
      <c r="L38" s="34"/>
      <c r="M38" s="34">
        <f aca="true" t="shared" si="20" ref="M38:U38">M37/$C37/24</f>
        <v>31.999999999999943</v>
      </c>
      <c r="N38" s="34">
        <f t="shared" si="20"/>
        <v>73.99999999999987</v>
      </c>
      <c r="O38" s="34">
        <f t="shared" si="20"/>
        <v>1.9999999999999964</v>
      </c>
      <c r="P38" s="34">
        <f t="shared" si="20"/>
        <v>0</v>
      </c>
      <c r="Q38" s="34">
        <f t="shared" si="20"/>
        <v>3.999999999999993</v>
      </c>
      <c r="R38" s="34">
        <f t="shared" si="20"/>
        <v>0</v>
      </c>
      <c r="S38" s="34">
        <f t="shared" si="20"/>
        <v>0</v>
      </c>
      <c r="T38" s="34">
        <f t="shared" si="20"/>
        <v>61.999999999999886</v>
      </c>
      <c r="U38" s="34">
        <f t="shared" si="20"/>
        <v>3.999999999999993</v>
      </c>
      <c r="V38" s="34"/>
      <c r="W38" s="34"/>
      <c r="X38" s="34"/>
      <c r="Y38" s="34">
        <f>Y37/$C37/24</f>
        <v>1.9999999999999964</v>
      </c>
      <c r="Z38" s="34">
        <f>Z37/$C37/24</f>
        <v>1.9999999999999964</v>
      </c>
      <c r="AA38" s="34">
        <f>AA37/$C37/24</f>
        <v>0</v>
      </c>
      <c r="AB38" s="44" t="e">
        <f>AB37/$C38/24</f>
        <v>#DIV/0!</v>
      </c>
      <c r="AC38" s="34" t="e">
        <f>AC37/$C38/24</f>
        <v>#DIV/0!</v>
      </c>
      <c r="AD38" s="34" t="e">
        <f>AD37/$C38/24</f>
        <v>#DIV/0!</v>
      </c>
      <c r="AG38" s="18"/>
      <c r="AH38" s="39"/>
      <c r="AK38" s="18"/>
    </row>
    <row r="39" ht="15">
      <c r="AK39" t="s">
        <v>99</v>
      </c>
    </row>
    <row r="40" spans="11:40" ht="15">
      <c r="K40" t="s">
        <v>16</v>
      </c>
      <c r="L40" t="s">
        <v>17</v>
      </c>
      <c r="M40" t="s">
        <v>61</v>
      </c>
      <c r="N40" t="s">
        <v>100</v>
      </c>
      <c r="AG40" t="s">
        <v>58</v>
      </c>
      <c r="AI40">
        <f>ABS(AH44*AI45-AI44*AH45)</f>
        <v>17288</v>
      </c>
      <c r="AJ40">
        <f>POWER(AI40-AJ46/2,2)</f>
        <v>282172804</v>
      </c>
      <c r="AK40" t="s">
        <v>58</v>
      </c>
      <c r="AM40">
        <f>ABS(AL44*AM45-AM44*AL45)</f>
        <v>16243</v>
      </c>
      <c r="AN40">
        <f>POWER(AM40-AN46/2,2)</f>
        <v>249260944</v>
      </c>
    </row>
    <row r="41" spans="10:37" ht="15">
      <c r="J41" t="s">
        <v>101</v>
      </c>
      <c r="K41">
        <f>M41-L41</f>
        <v>29</v>
      </c>
      <c r="L41">
        <f>SUM(V35:AA35)</f>
        <v>4</v>
      </c>
      <c r="M41">
        <f>SUM(J26:L26,J32:L32,M31:O31,M33:O33)</f>
        <v>33</v>
      </c>
      <c r="N41" s="45">
        <f>L41/M41</f>
        <v>0.12121212121212122</v>
      </c>
      <c r="AG41" s="18" t="s">
        <v>59</v>
      </c>
      <c r="AK41" s="18" t="s">
        <v>59</v>
      </c>
    </row>
    <row r="42" spans="10:38" ht="15">
      <c r="J42" t="s">
        <v>102</v>
      </c>
      <c r="K42">
        <f>M42-L42</f>
        <v>372</v>
      </c>
      <c r="L42">
        <f>SUM(P35:U35)</f>
        <v>132</v>
      </c>
      <c r="M42">
        <f>SUM(D26:I28,D31:I33)</f>
        <v>504</v>
      </c>
      <c r="N42" s="45">
        <f>L42/M42</f>
        <v>0.2619047619047619</v>
      </c>
      <c r="AG42" s="18"/>
      <c r="AH42" s="19" t="s">
        <v>60</v>
      </c>
      <c r="AK42" s="18"/>
      <c r="AL42" s="19" t="s">
        <v>60</v>
      </c>
    </row>
    <row r="43" spans="5:40" ht="15">
      <c r="E43" s="9"/>
      <c r="I43" s="9"/>
      <c r="J43" t="s">
        <v>58</v>
      </c>
      <c r="L43">
        <f>ABS(K47*L48-L47*K48)</f>
        <v>2340</v>
      </c>
      <c r="M43">
        <f>POWER(L43-M49/2,2)</f>
        <v>4291112.25</v>
      </c>
      <c r="AG43" s="18"/>
      <c r="AH43" t="s">
        <v>103</v>
      </c>
      <c r="AI43" t="s">
        <v>104</v>
      </c>
      <c r="AJ43" t="s">
        <v>24</v>
      </c>
      <c r="AK43" s="18"/>
      <c r="AL43" t="s">
        <v>103</v>
      </c>
      <c r="AM43" t="s">
        <v>104</v>
      </c>
      <c r="AN43" t="s">
        <v>24</v>
      </c>
    </row>
    <row r="44" spans="5:41" ht="15">
      <c r="E44" s="9"/>
      <c r="I44" s="9"/>
      <c r="J44" s="18" t="s">
        <v>59</v>
      </c>
      <c r="AG44" s="18" t="s">
        <v>105</v>
      </c>
      <c r="AH44">
        <f>AJ44-AI44</f>
        <v>363</v>
      </c>
      <c r="AI44" s="20">
        <f>14+66</f>
        <v>80</v>
      </c>
      <c r="AJ44" s="20">
        <f>48+395</f>
        <v>443</v>
      </c>
      <c r="AK44" s="18" t="s">
        <v>105</v>
      </c>
      <c r="AL44">
        <f>AN44-AM44</f>
        <v>363</v>
      </c>
      <c r="AM44" s="20">
        <f>14+66</f>
        <v>80</v>
      </c>
      <c r="AN44" s="20">
        <f>48+395</f>
        <v>443</v>
      </c>
      <c r="AO44" s="46">
        <f>AM44/AN44</f>
        <v>0.18058690744920994</v>
      </c>
    </row>
    <row r="45" spans="10:40" ht="15">
      <c r="J45" s="18"/>
      <c r="K45" s="19" t="s">
        <v>60</v>
      </c>
      <c r="AG45" s="18" t="s">
        <v>87</v>
      </c>
      <c r="AH45">
        <f>AJ45-AI45</f>
        <v>401</v>
      </c>
      <c r="AI45" s="20">
        <f>AI35</f>
        <v>136</v>
      </c>
      <c r="AJ45" s="20">
        <f>AG35</f>
        <v>537</v>
      </c>
      <c r="AK45" s="18" t="s">
        <v>87</v>
      </c>
      <c r="AL45">
        <f>AN45-AM45</f>
        <v>346</v>
      </c>
      <c r="AM45" s="20">
        <f>AM35</f>
        <v>121</v>
      </c>
      <c r="AN45" s="20">
        <f>AK35</f>
        <v>467</v>
      </c>
    </row>
    <row r="46" spans="10:40" ht="15">
      <c r="J46" s="18"/>
      <c r="K46" t="s">
        <v>103</v>
      </c>
      <c r="L46" t="s">
        <v>104</v>
      </c>
      <c r="M46" t="s">
        <v>24</v>
      </c>
      <c r="AG46" s="18" t="s">
        <v>24</v>
      </c>
      <c r="AH46">
        <f>AH44+AH45</f>
        <v>764</v>
      </c>
      <c r="AI46">
        <f>AI44+AI45</f>
        <v>216</v>
      </c>
      <c r="AJ46">
        <f>AH46+AI46</f>
        <v>980</v>
      </c>
      <c r="AK46" s="18" t="s">
        <v>24</v>
      </c>
      <c r="AL46">
        <f>AL44+AL45</f>
        <v>709</v>
      </c>
      <c r="AM46">
        <f>AM44+AM45</f>
        <v>201</v>
      </c>
      <c r="AN46">
        <f>AL46+AM46</f>
        <v>910</v>
      </c>
    </row>
    <row r="47" spans="10:37" ht="15">
      <c r="J47" t="s">
        <v>101</v>
      </c>
      <c r="K47">
        <f>M47-L47</f>
        <v>29</v>
      </c>
      <c r="L47" s="20">
        <f>L41</f>
        <v>4</v>
      </c>
      <c r="M47" s="20">
        <f>M41</f>
        <v>33</v>
      </c>
      <c r="AG47" s="18"/>
      <c r="AK47" s="18"/>
    </row>
    <row r="48" spans="10:38" ht="15">
      <c r="J48" t="s">
        <v>102</v>
      </c>
      <c r="K48">
        <f>M48-L48</f>
        <v>372</v>
      </c>
      <c r="L48" s="20">
        <f>L42</f>
        <v>132</v>
      </c>
      <c r="M48" s="20">
        <f>M42</f>
        <v>504</v>
      </c>
      <c r="AG48" s="21" t="s">
        <v>64</v>
      </c>
      <c r="AH48" s="22">
        <f>AJ46*AJ40/(AH46*AI46*AJ45*AJ44)</f>
        <v>7.043947458979644</v>
      </c>
      <c r="AK48" s="21" t="s">
        <v>64</v>
      </c>
      <c r="AL48" s="22">
        <f>AN46*AN40/(AL46*AM46*AN45*AN44)</f>
        <v>7.693655366076045</v>
      </c>
    </row>
    <row r="49" spans="10:38" ht="15">
      <c r="J49" s="18" t="s">
        <v>24</v>
      </c>
      <c r="K49">
        <f>K47+K48</f>
        <v>401</v>
      </c>
      <c r="L49">
        <f>L47+L48</f>
        <v>136</v>
      </c>
      <c r="M49">
        <f>K49+L49</f>
        <v>537</v>
      </c>
      <c r="AG49" s="21" t="s">
        <v>20</v>
      </c>
      <c r="AH49" s="23">
        <f>CHIDIST(AH48,1)</f>
        <v>0.007953354835052526</v>
      </c>
      <c r="AK49" s="21" t="s">
        <v>20</v>
      </c>
      <c r="AL49" s="23">
        <f>CHIDIST(AL48,1)</f>
        <v>0.0055415279114522376</v>
      </c>
    </row>
    <row r="50" ht="15">
      <c r="J50" s="18"/>
    </row>
    <row r="51" spans="10:11" ht="15">
      <c r="J51" s="21" t="s">
        <v>64</v>
      </c>
      <c r="K51" s="22">
        <f>M49*M43/(K49*L49*M48*M47)</f>
        <v>2.5404836466297014</v>
      </c>
    </row>
    <row r="52" spans="10:11" ht="15">
      <c r="J52" s="21" t="s">
        <v>20</v>
      </c>
      <c r="K52" s="23">
        <f>CHIDIST(K51,1)</f>
        <v>0.1109607930427104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Lynn</dc:creator>
  <cp:keywords/>
  <dc:description/>
  <cp:lastModifiedBy>Bruce Lynn</cp:lastModifiedBy>
  <dcterms:created xsi:type="dcterms:W3CDTF">2018-08-10T17:54:07Z</dcterms:created>
  <dcterms:modified xsi:type="dcterms:W3CDTF">2018-08-10T22:56:17Z</dcterms:modified>
  <cp:category/>
  <cp:version/>
  <cp:contentType/>
  <cp:contentStatus/>
</cp:coreProperties>
</file>